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9092" windowHeight="8160" tabRatio="768" activeTab="12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</sheets>
  <calcPr calcId="124519"/>
</workbook>
</file>

<file path=xl/calcChain.xml><?xml version="1.0" encoding="utf-8"?>
<calcChain xmlns="http://schemas.openxmlformats.org/spreadsheetml/2006/main">
  <c r="P29" i="15"/>
  <c r="P28"/>
  <c r="P27"/>
  <c r="P26"/>
  <c r="P25"/>
  <c r="P24"/>
  <c r="P23"/>
  <c r="P22"/>
  <c r="N28"/>
  <c r="N27"/>
  <c r="N26"/>
  <c r="N25"/>
  <c r="N24"/>
  <c r="N23"/>
  <c r="N22"/>
  <c r="L27"/>
  <c r="L26"/>
  <c r="L25"/>
  <c r="L24"/>
  <c r="L23"/>
  <c r="L22"/>
  <c r="J26"/>
  <c r="J25"/>
  <c r="J24"/>
  <c r="J23"/>
  <c r="J22"/>
  <c r="H25"/>
  <c r="H24"/>
  <c r="H23"/>
  <c r="H22"/>
  <c r="F23"/>
  <c r="F24"/>
  <c r="F22"/>
  <c r="P18"/>
  <c r="P17"/>
  <c r="P16"/>
  <c r="P15"/>
  <c r="P14"/>
  <c r="P13"/>
  <c r="P12"/>
  <c r="P11"/>
  <c r="N17"/>
  <c r="N16"/>
  <c r="N15"/>
  <c r="N14"/>
  <c r="N13"/>
  <c r="N12"/>
  <c r="N11"/>
  <c r="L16"/>
  <c r="L15"/>
  <c r="L14"/>
  <c r="L13"/>
  <c r="L12"/>
  <c r="L11"/>
  <c r="J15"/>
  <c r="J14"/>
  <c r="J13"/>
  <c r="J12"/>
  <c r="J11"/>
  <c r="H14"/>
  <c r="H13"/>
  <c r="H12"/>
  <c r="H11"/>
  <c r="F13"/>
  <c r="F12"/>
  <c r="F11"/>
  <c r="F94"/>
  <c r="M25" s="1"/>
  <c r="F93"/>
  <c r="M24" s="1"/>
  <c r="D95" i="14"/>
  <c r="D94"/>
  <c r="E88" i="13"/>
  <c r="P29" s="1"/>
  <c r="E87"/>
  <c r="P28" s="1"/>
  <c r="G16" i="12"/>
  <c r="I19" s="1"/>
  <c r="E57"/>
  <c r="E58" s="1"/>
  <c r="E14"/>
  <c r="C15"/>
  <c r="G56"/>
  <c r="K56" s="1"/>
  <c r="E60" i="11"/>
  <c r="E13"/>
  <c r="E59"/>
  <c r="E12"/>
  <c r="D61" i="2"/>
  <c r="P26" s="1"/>
  <c r="D62"/>
  <c r="D9" s="1"/>
  <c r="J9"/>
  <c r="N9"/>
  <c r="E94" i="10"/>
  <c r="E93"/>
  <c r="E85" i="9"/>
  <c r="E76"/>
  <c r="H76" s="1"/>
  <c r="E77"/>
  <c r="H91" s="1"/>
  <c r="D77" i="8"/>
  <c r="P29" s="1"/>
  <c r="D76"/>
  <c r="N28" s="1"/>
  <c r="E73" i="6"/>
  <c r="E22" s="1"/>
  <c r="E72"/>
  <c r="E9" s="1"/>
  <c r="D69" i="5"/>
  <c r="M15" s="1"/>
  <c r="D68"/>
  <c r="M13" s="1"/>
  <c r="D94" i="4"/>
  <c r="D93"/>
  <c r="D94" i="3"/>
  <c r="D93"/>
  <c r="F70" i="1"/>
  <c r="D13" s="1"/>
  <c r="F69"/>
  <c r="D14" s="1"/>
  <c r="P27" i="2"/>
  <c r="P9"/>
  <c r="L9"/>
  <c r="H9"/>
  <c r="E25" i="11"/>
  <c r="E26"/>
  <c r="E11"/>
  <c r="E24"/>
  <c r="E10"/>
  <c r="G8" i="6"/>
  <c r="G12"/>
  <c r="I11"/>
  <c r="K8"/>
  <c r="K12"/>
  <c r="M8"/>
  <c r="M12"/>
  <c r="M16"/>
  <c r="G22"/>
  <c r="I21"/>
  <c r="I25"/>
  <c r="K22"/>
  <c r="K26"/>
  <c r="M22"/>
  <c r="M26"/>
  <c r="M30"/>
  <c r="G11"/>
  <c r="I10"/>
  <c r="I14"/>
  <c r="K11"/>
  <c r="K15"/>
  <c r="M11"/>
  <c r="M15"/>
  <c r="G21"/>
  <c r="G25"/>
  <c r="I24"/>
  <c r="K21"/>
  <c r="K25"/>
  <c r="M21"/>
  <c r="M27"/>
  <c r="I11" i="5"/>
  <c r="D10" i="2"/>
  <c r="H10"/>
  <c r="F11"/>
  <c r="J11"/>
  <c r="N11"/>
  <c r="F12"/>
  <c r="J12"/>
  <c r="N12"/>
  <c r="H13"/>
  <c r="L13"/>
  <c r="P13"/>
  <c r="L14"/>
  <c r="P14"/>
  <c r="N15"/>
  <c r="N16"/>
  <c r="P17"/>
  <c r="F20"/>
  <c r="J20"/>
  <c r="N20"/>
  <c r="D21"/>
  <c r="H21"/>
  <c r="L21"/>
  <c r="P21"/>
  <c r="F22"/>
  <c r="J22"/>
  <c r="N22"/>
  <c r="F23"/>
  <c r="J23"/>
  <c r="N23"/>
  <c r="H24"/>
  <c r="L24"/>
  <c r="P24"/>
  <c r="L25"/>
  <c r="P25"/>
  <c r="N26"/>
  <c r="N27"/>
  <c r="P28"/>
  <c r="F10"/>
  <c r="J10"/>
  <c r="N10"/>
  <c r="D11"/>
  <c r="H11"/>
  <c r="L11"/>
  <c r="P11"/>
  <c r="H12"/>
  <c r="L12"/>
  <c r="P12"/>
  <c r="J13"/>
  <c r="N13"/>
  <c r="J14"/>
  <c r="N14"/>
  <c r="L15"/>
  <c r="P15"/>
  <c r="P16"/>
  <c r="D20"/>
  <c r="H20"/>
  <c r="L20"/>
  <c r="P20"/>
  <c r="F21"/>
  <c r="J21"/>
  <c r="N21"/>
  <c r="D22"/>
  <c r="H22"/>
  <c r="L22"/>
  <c r="P22"/>
  <c r="H23"/>
  <c r="L23"/>
  <c r="P23"/>
  <c r="J24"/>
  <c r="N24"/>
  <c r="J25"/>
  <c r="N25"/>
  <c r="L26"/>
  <c r="E62" i="11"/>
  <c r="E23"/>
  <c r="E61"/>
  <c r="Q20" i="6"/>
  <c r="K22" i="5"/>
  <c r="K77" i="9" l="1"/>
  <c r="E79"/>
  <c r="K79" s="1"/>
  <c r="D96" i="3"/>
  <c r="I9" i="5"/>
  <c r="G25"/>
  <c r="G23"/>
  <c r="M21"/>
  <c r="I21"/>
  <c r="E10"/>
  <c r="I26"/>
  <c r="M30"/>
  <c r="M11"/>
  <c r="K12"/>
  <c r="M24"/>
  <c r="I12"/>
  <c r="M12"/>
  <c r="Q19" s="1"/>
  <c r="I27"/>
  <c r="E8"/>
  <c r="G9"/>
  <c r="I10"/>
  <c r="Q12" s="1"/>
  <c r="M17"/>
  <c r="K27"/>
  <c r="E9"/>
  <c r="M29"/>
  <c r="M27"/>
  <c r="K21"/>
  <c r="P30" i="13"/>
  <c r="P27"/>
  <c r="P32"/>
  <c r="P34"/>
  <c r="P35"/>
  <c r="P33"/>
  <c r="P31"/>
  <c r="K22" i="12"/>
  <c r="M25"/>
  <c r="E13"/>
  <c r="P10" i="2"/>
  <c r="L10"/>
  <c r="L15" i="1"/>
  <c r="D97" i="3"/>
  <c r="E78" i="9"/>
  <c r="E86"/>
  <c r="K97"/>
  <c r="K91"/>
  <c r="H77"/>
  <c r="H86"/>
  <c r="E56" i="12"/>
  <c r="M56"/>
  <c r="G10" i="5"/>
  <c r="Q10" s="1"/>
  <c r="K10"/>
  <c r="K11"/>
  <c r="M14"/>
  <c r="G8"/>
  <c r="M22"/>
  <c r="E22"/>
  <c r="E23"/>
  <c r="I25"/>
  <c r="K26"/>
  <c r="M28"/>
  <c r="I24"/>
  <c r="K25"/>
  <c r="M25"/>
  <c r="M16"/>
  <c r="Q20" s="1"/>
  <c r="G21"/>
  <c r="G24"/>
  <c r="I13"/>
  <c r="Q13" s="1"/>
  <c r="K14"/>
  <c r="M10"/>
  <c r="I8"/>
  <c r="K9"/>
  <c r="K13"/>
  <c r="Q16" s="1"/>
  <c r="M9"/>
  <c r="K15"/>
  <c r="K28" s="1"/>
  <c r="I14"/>
  <c r="G11"/>
  <c r="M8"/>
  <c r="K8"/>
  <c r="G12"/>
  <c r="G22"/>
  <c r="M23"/>
  <c r="K23"/>
  <c r="I22"/>
  <c r="M26"/>
  <c r="K24"/>
  <c r="I23"/>
  <c r="E21"/>
  <c r="E24" s="1"/>
  <c r="E11"/>
  <c r="G12" i="15"/>
  <c r="G14"/>
  <c r="I12"/>
  <c r="I14"/>
  <c r="K12"/>
  <c r="K14"/>
  <c r="K16"/>
  <c r="M12"/>
  <c r="M14"/>
  <c r="M16"/>
  <c r="O12"/>
  <c r="O14"/>
  <c r="O16"/>
  <c r="O18"/>
  <c r="Q12"/>
  <c r="Q14"/>
  <c r="Q16"/>
  <c r="Q18"/>
  <c r="E22"/>
  <c r="E24"/>
  <c r="G22"/>
  <c r="G24"/>
  <c r="I22"/>
  <c r="I24"/>
  <c r="I26"/>
  <c r="K22"/>
  <c r="K24"/>
  <c r="K26"/>
  <c r="M22"/>
  <c r="M28" s="1"/>
  <c r="O23"/>
  <c r="O25"/>
  <c r="O27"/>
  <c r="O29"/>
  <c r="Q23"/>
  <c r="Q29" s="1"/>
  <c r="Q25"/>
  <c r="Q27" s="1"/>
  <c r="E11"/>
  <c r="E13" s="1"/>
  <c r="E12"/>
  <c r="G11"/>
  <c r="G13"/>
  <c r="I11"/>
  <c r="I13"/>
  <c r="I15"/>
  <c r="K11"/>
  <c r="K13"/>
  <c r="K15"/>
  <c r="M11"/>
  <c r="M13"/>
  <c r="M15"/>
  <c r="M17"/>
  <c r="O11"/>
  <c r="O13"/>
  <c r="O15"/>
  <c r="O17"/>
  <c r="Q11"/>
  <c r="Q13"/>
  <c r="Q15"/>
  <c r="Q17"/>
  <c r="Q19"/>
  <c r="E23"/>
  <c r="G23"/>
  <c r="G25"/>
  <c r="I23"/>
  <c r="I25"/>
  <c r="K23"/>
  <c r="K25"/>
  <c r="K27"/>
  <c r="M23"/>
  <c r="M27" s="1"/>
  <c r="O22"/>
  <c r="O24"/>
  <c r="O26"/>
  <c r="O28"/>
  <c r="Q22"/>
  <c r="Q30" s="1"/>
  <c r="Q24"/>
  <c r="Q28" s="1"/>
  <c r="Q26"/>
  <c r="M26"/>
  <c r="P29" i="1"/>
  <c r="E96" i="10"/>
  <c r="D97" i="14"/>
  <c r="D98"/>
  <c r="D16" i="13"/>
  <c r="D18" s="1"/>
  <c r="D28"/>
  <c r="F16"/>
  <c r="F18"/>
  <c r="F27"/>
  <c r="F29"/>
  <c r="H16"/>
  <c r="H20" s="1"/>
  <c r="H29"/>
  <c r="J16"/>
  <c r="J18"/>
  <c r="J20"/>
  <c r="J27"/>
  <c r="J29"/>
  <c r="J31"/>
  <c r="L16"/>
  <c r="L18"/>
  <c r="L20"/>
  <c r="L22"/>
  <c r="L28"/>
  <c r="L30"/>
  <c r="L32"/>
  <c r="N16"/>
  <c r="N18"/>
  <c r="N20"/>
  <c r="N22"/>
  <c r="N27"/>
  <c r="N29"/>
  <c r="N31"/>
  <c r="N33"/>
  <c r="P16"/>
  <c r="P18"/>
  <c r="P20"/>
  <c r="P22"/>
  <c r="P24"/>
  <c r="D17"/>
  <c r="D27"/>
  <c r="D29" s="1"/>
  <c r="F17"/>
  <c r="F19"/>
  <c r="F28"/>
  <c r="F30"/>
  <c r="H18"/>
  <c r="H27"/>
  <c r="H31"/>
  <c r="J17"/>
  <c r="J19"/>
  <c r="J21"/>
  <c r="J28"/>
  <c r="J30"/>
  <c r="J32"/>
  <c r="L17"/>
  <c r="L19"/>
  <c r="L21"/>
  <c r="L27"/>
  <c r="L29"/>
  <c r="L31"/>
  <c r="L33"/>
  <c r="N17"/>
  <c r="N19"/>
  <c r="N21"/>
  <c r="N23"/>
  <c r="N28"/>
  <c r="N30"/>
  <c r="N32"/>
  <c r="N34"/>
  <c r="P17"/>
  <c r="P19"/>
  <c r="P21"/>
  <c r="P23"/>
  <c r="H17"/>
  <c r="H28"/>
  <c r="H19"/>
  <c r="H30"/>
  <c r="D96" i="4"/>
  <c r="D24" i="1"/>
  <c r="N19"/>
  <c r="F26"/>
  <c r="F15"/>
  <c r="L14"/>
  <c r="L28"/>
  <c r="N26"/>
  <c r="P30"/>
  <c r="K76" i="9"/>
  <c r="F9" i="2"/>
  <c r="E97" i="10"/>
  <c r="E98" s="1"/>
  <c r="K86" i="9"/>
  <c r="I56" i="12"/>
  <c r="H16" i="1"/>
  <c r="J13"/>
  <c r="N18"/>
  <c r="N29"/>
  <c r="H25"/>
  <c r="P14"/>
  <c r="L25"/>
  <c r="P20"/>
  <c r="J28"/>
  <c r="J27"/>
  <c r="H79" i="9"/>
  <c r="H78"/>
  <c r="D97" i="4"/>
  <c r="F14" i="1"/>
  <c r="H15"/>
  <c r="H14"/>
  <c r="J17"/>
  <c r="L16"/>
  <c r="J12"/>
  <c r="N14"/>
  <c r="N15"/>
  <c r="N25"/>
  <c r="L24"/>
  <c r="F25"/>
  <c r="P18"/>
  <c r="N30"/>
  <c r="L29"/>
  <c r="H26"/>
  <c r="D25"/>
  <c r="P15"/>
  <c r="P26"/>
  <c r="J24"/>
  <c r="P25"/>
  <c r="J23"/>
  <c r="I57" i="12"/>
  <c r="I58" s="1"/>
  <c r="K57"/>
  <c r="K58" s="1"/>
  <c r="G57"/>
  <c r="G58" s="1"/>
  <c r="M57"/>
  <c r="M58" s="1"/>
  <c r="M10" s="1"/>
  <c r="M15" s="1"/>
  <c r="D12" i="1"/>
  <c r="F12"/>
  <c r="F13"/>
  <c r="H13"/>
  <c r="H12"/>
  <c r="L17"/>
  <c r="L13"/>
  <c r="J15"/>
  <c r="L18"/>
  <c r="L12"/>
  <c r="J16"/>
  <c r="J14"/>
  <c r="N16"/>
  <c r="N12"/>
  <c r="N17"/>
  <c r="N13"/>
  <c r="N27"/>
  <c r="N23"/>
  <c r="L26"/>
  <c r="H27"/>
  <c r="H23"/>
  <c r="F23"/>
  <c r="P19"/>
  <c r="P16"/>
  <c r="P12"/>
  <c r="N28"/>
  <c r="N24"/>
  <c r="L27"/>
  <c r="L23"/>
  <c r="H24"/>
  <c r="F24"/>
  <c r="D23"/>
  <c r="P17"/>
  <c r="P13"/>
  <c r="P28"/>
  <c r="P24"/>
  <c r="J26"/>
  <c r="P31"/>
  <c r="P27"/>
  <c r="P23"/>
  <c r="J25"/>
  <c r="E8" i="6"/>
  <c r="E10"/>
  <c r="Q8" s="1"/>
  <c r="E21"/>
  <c r="E24" s="1"/>
  <c r="E23"/>
  <c r="M23"/>
  <c r="K27"/>
  <c r="K23"/>
  <c r="I26"/>
  <c r="I22"/>
  <c r="G23"/>
  <c r="M17"/>
  <c r="M13"/>
  <c r="Q19" s="1"/>
  <c r="M9"/>
  <c r="K13"/>
  <c r="Q16" s="1"/>
  <c r="K9"/>
  <c r="I12"/>
  <c r="I8"/>
  <c r="G9"/>
  <c r="M28"/>
  <c r="M24"/>
  <c r="K28"/>
  <c r="K24"/>
  <c r="I27"/>
  <c r="I23"/>
  <c r="G24"/>
  <c r="M14"/>
  <c r="M10"/>
  <c r="K14"/>
  <c r="K10"/>
  <c r="I13"/>
  <c r="I9"/>
  <c r="Q12" s="1"/>
  <c r="G10"/>
  <c r="M29"/>
  <c r="M25"/>
  <c r="E11"/>
  <c r="I10" i="12"/>
  <c r="E10"/>
  <c r="E8" s="1"/>
  <c r="D10" i="8"/>
  <c r="D12"/>
  <c r="D22"/>
  <c r="F10"/>
  <c r="F12"/>
  <c r="F21"/>
  <c r="F23"/>
  <c r="H10"/>
  <c r="H12"/>
  <c r="H14"/>
  <c r="H22"/>
  <c r="H24"/>
  <c r="J10"/>
  <c r="J12"/>
  <c r="J15"/>
  <c r="J22"/>
  <c r="J24"/>
  <c r="J25"/>
  <c r="L10"/>
  <c r="L12"/>
  <c r="L14"/>
  <c r="L16"/>
  <c r="L22"/>
  <c r="L24"/>
  <c r="L26"/>
  <c r="N10"/>
  <c r="N12"/>
  <c r="N14"/>
  <c r="N16"/>
  <c r="N21"/>
  <c r="N23"/>
  <c r="N25"/>
  <c r="N27"/>
  <c r="P10"/>
  <c r="P12"/>
  <c r="P14"/>
  <c r="P16"/>
  <c r="P18"/>
  <c r="P22"/>
  <c r="P24"/>
  <c r="P26"/>
  <c r="P28"/>
  <c r="D11"/>
  <c r="D21"/>
  <c r="D23"/>
  <c r="F11"/>
  <c r="F13"/>
  <c r="F22"/>
  <c r="F24"/>
  <c r="H11"/>
  <c r="H13"/>
  <c r="H21"/>
  <c r="H23"/>
  <c r="H25"/>
  <c r="J11"/>
  <c r="J13"/>
  <c r="J21"/>
  <c r="J23"/>
  <c r="J14"/>
  <c r="J26"/>
  <c r="L11"/>
  <c r="L13"/>
  <c r="L15"/>
  <c r="L21"/>
  <c r="L23"/>
  <c r="L25"/>
  <c r="L27"/>
  <c r="N11"/>
  <c r="N13"/>
  <c r="N15"/>
  <c r="N17"/>
  <c r="N22"/>
  <c r="N24"/>
  <c r="N26"/>
  <c r="P11"/>
  <c r="P13"/>
  <c r="P15"/>
  <c r="P17"/>
  <c r="P21"/>
  <c r="P23"/>
  <c r="P25"/>
  <c r="P27"/>
  <c r="D98" i="3" l="1"/>
  <c r="D103" s="1"/>
  <c r="Q8" i="5"/>
  <c r="Q18"/>
  <c r="K78" i="9"/>
  <c r="E80"/>
  <c r="D98" i="4"/>
  <c r="D100" s="1"/>
  <c r="Q15" i="5"/>
  <c r="D99" i="14"/>
  <c r="D104" s="1"/>
  <c r="D105" s="1"/>
  <c r="E74" i="10"/>
  <c r="E103"/>
  <c r="E105" s="1"/>
  <c r="E101"/>
  <c r="E99"/>
  <c r="E100"/>
  <c r="M8" i="12"/>
  <c r="M22" s="1"/>
  <c r="M24"/>
  <c r="H80" i="9"/>
  <c r="M18" i="12"/>
  <c r="M17" s="1"/>
  <c r="M14" s="1"/>
  <c r="G10"/>
  <c r="G15" s="1"/>
  <c r="K10"/>
  <c r="Q10" i="6"/>
  <c r="Q13"/>
  <c r="Q15"/>
  <c r="Q18"/>
  <c r="E9" i="12"/>
  <c r="E12" s="1"/>
  <c r="E11"/>
  <c r="I15"/>
  <c r="I14" s="1"/>
  <c r="I12" s="1"/>
  <c r="I18"/>
  <c r="M21"/>
  <c r="I8"/>
  <c r="M12"/>
  <c r="M20" s="1"/>
  <c r="D99" i="3" l="1"/>
  <c r="D101"/>
  <c r="J20" s="1"/>
  <c r="J30" s="1"/>
  <c r="D100"/>
  <c r="D9" s="1"/>
  <c r="M9" i="12"/>
  <c r="M11" s="1"/>
  <c r="H88" i="9"/>
  <c r="M13" s="1"/>
  <c r="H92"/>
  <c r="M14" s="1"/>
  <c r="K87"/>
  <c r="M17" s="1"/>
  <c r="K98"/>
  <c r="M21" s="1"/>
  <c r="E83"/>
  <c r="K88"/>
  <c r="M18" s="1"/>
  <c r="K92"/>
  <c r="M19" s="1"/>
  <c r="K93"/>
  <c r="M20" s="1"/>
  <c r="H93"/>
  <c r="M15" s="1"/>
  <c r="E88"/>
  <c r="E90" s="1"/>
  <c r="K99"/>
  <c r="M22" s="1"/>
  <c r="K80"/>
  <c r="E81"/>
  <c r="E82"/>
  <c r="E84"/>
  <c r="H87"/>
  <c r="M12" s="1"/>
  <c r="H90"/>
  <c r="E87"/>
  <c r="E89" s="1"/>
  <c r="D103" i="4"/>
  <c r="D104" s="1"/>
  <c r="D101"/>
  <c r="D99"/>
  <c r="D9" s="1"/>
  <c r="D13" s="1"/>
  <c r="D100" i="14"/>
  <c r="D101"/>
  <c r="D102"/>
  <c r="E104" i="10"/>
  <c r="E73"/>
  <c r="O20"/>
  <c r="O24"/>
  <c r="O16"/>
  <c r="E72"/>
  <c r="I13" s="1"/>
  <c r="I14" s="1"/>
  <c r="G16"/>
  <c r="Q16"/>
  <c r="K20"/>
  <c r="K19" s="1"/>
  <c r="K29" s="1"/>
  <c r="K16"/>
  <c r="H81" i="9"/>
  <c r="G8" i="12"/>
  <c r="G14" s="1"/>
  <c r="K8"/>
  <c r="K15"/>
  <c r="K21"/>
  <c r="I17"/>
  <c r="I9"/>
  <c r="M19"/>
  <c r="O34" i="10"/>
  <c r="O19"/>
  <c r="O33" s="1"/>
  <c r="O38"/>
  <c r="O15"/>
  <c r="O37" s="1"/>
  <c r="K12"/>
  <c r="Q30"/>
  <c r="I12"/>
  <c r="Q12"/>
  <c r="M30"/>
  <c r="M16"/>
  <c r="M15" s="1"/>
  <c r="M34"/>
  <c r="G12"/>
  <c r="O12"/>
  <c r="Q38"/>
  <c r="Q37" s="1"/>
  <c r="E12"/>
  <c r="E11" s="1"/>
  <c r="E30"/>
  <c r="M12"/>
  <c r="M20" s="1"/>
  <c r="M19" s="1"/>
  <c r="M11" s="1"/>
  <c r="I30"/>
  <c r="Q34"/>
  <c r="I34"/>
  <c r="I33" s="1"/>
  <c r="Q13"/>
  <c r="O13"/>
  <c r="K17"/>
  <c r="G9"/>
  <c r="E31"/>
  <c r="E32" s="1"/>
  <c r="Q17"/>
  <c r="Q18" s="1"/>
  <c r="Q9"/>
  <c r="O9"/>
  <c r="K13"/>
  <c r="E9"/>
  <c r="I9"/>
  <c r="Q31"/>
  <c r="O21"/>
  <c r="M13"/>
  <c r="K9"/>
  <c r="M31"/>
  <c r="Q35"/>
  <c r="O17"/>
  <c r="M9"/>
  <c r="I31"/>
  <c r="M35"/>
  <c r="M36" s="1"/>
  <c r="G13"/>
  <c r="Q20"/>
  <c r="Q15"/>
  <c r="Q19" s="1"/>
  <c r="K30"/>
  <c r="K34"/>
  <c r="K15"/>
  <c r="K33" s="1"/>
  <c r="G30"/>
  <c r="G15"/>
  <c r="G29" s="1"/>
  <c r="O23"/>
  <c r="O29" s="1"/>
  <c r="O30"/>
  <c r="N21" i="14" l="1"/>
  <c r="N20" s="1"/>
  <c r="N34" s="1"/>
  <c r="D10"/>
  <c r="D11" s="1"/>
  <c r="D15" s="1"/>
  <c r="N25"/>
  <c r="N24" s="1"/>
  <c r="N30" s="1"/>
  <c r="F16" i="3"/>
  <c r="F15" s="1"/>
  <c r="F29" s="1"/>
  <c r="J16"/>
  <c r="J34" s="1"/>
  <c r="D12"/>
  <c r="P12" s="1"/>
  <c r="P24" s="1"/>
  <c r="P16"/>
  <c r="P20" s="1"/>
  <c r="N16"/>
  <c r="N15" s="1"/>
  <c r="N37" s="1"/>
  <c r="N24"/>
  <c r="N30" s="1"/>
  <c r="N20"/>
  <c r="N34" s="1"/>
  <c r="J17"/>
  <c r="J18" s="1"/>
  <c r="J32" s="1"/>
  <c r="D10"/>
  <c r="D14" s="1"/>
  <c r="P9"/>
  <c r="P25" s="1"/>
  <c r="E88"/>
  <c r="L30" s="1"/>
  <c r="L42" s="1"/>
  <c r="E87"/>
  <c r="N13"/>
  <c r="N14" s="1"/>
  <c r="N40" s="1"/>
  <c r="L9"/>
  <c r="L10" s="1"/>
  <c r="L22" s="1"/>
  <c r="P13"/>
  <c r="P21" s="1"/>
  <c r="L13"/>
  <c r="L14" s="1"/>
  <c r="L18" s="1"/>
  <c r="J13"/>
  <c r="J14" s="1"/>
  <c r="J36" s="1"/>
  <c r="N21"/>
  <c r="N22" s="1"/>
  <c r="N32" s="1"/>
  <c r="P17"/>
  <c r="P18" s="1"/>
  <c r="J9"/>
  <c r="J10" s="1"/>
  <c r="J40" s="1"/>
  <c r="H9"/>
  <c r="H10" s="1"/>
  <c r="H18" s="1"/>
  <c r="D13"/>
  <c r="H13" s="1"/>
  <c r="H14" s="1"/>
  <c r="F9"/>
  <c r="F10" s="1"/>
  <c r="F36" s="1"/>
  <c r="N17"/>
  <c r="N35" s="1"/>
  <c r="N9"/>
  <c r="N10" s="1"/>
  <c r="N44" s="1"/>
  <c r="M13" i="12"/>
  <c r="M23"/>
  <c r="M16"/>
  <c r="G9"/>
  <c r="G13" s="1"/>
  <c r="H95" i="9"/>
  <c r="H89"/>
  <c r="J19" i="3"/>
  <c r="J29" s="1"/>
  <c r="N19"/>
  <c r="N33" s="1"/>
  <c r="D12" i="4"/>
  <c r="D11" s="1"/>
  <c r="N38" i="3"/>
  <c r="D30"/>
  <c r="D34" s="1"/>
  <c r="F30"/>
  <c r="N24" i="4"/>
  <c r="N30" s="1"/>
  <c r="N20"/>
  <c r="N34" s="1"/>
  <c r="D91"/>
  <c r="P34" s="1"/>
  <c r="P33" s="1"/>
  <c r="P41" s="1"/>
  <c r="D90"/>
  <c r="H13" s="1"/>
  <c r="H14" s="1"/>
  <c r="P16"/>
  <c r="P20" s="1"/>
  <c r="J20"/>
  <c r="D105"/>
  <c r="N16"/>
  <c r="N38" s="1"/>
  <c r="J16"/>
  <c r="H82" i="9"/>
  <c r="K82"/>
  <c r="K101"/>
  <c r="K89"/>
  <c r="K100"/>
  <c r="K94"/>
  <c r="K95"/>
  <c r="K90"/>
  <c r="E72"/>
  <c r="K81"/>
  <c r="K83"/>
  <c r="H83"/>
  <c r="E73"/>
  <c r="H94"/>
  <c r="F16" i="4"/>
  <c r="D13" i="14"/>
  <c r="D12" s="1"/>
  <c r="N17"/>
  <c r="N16" s="1"/>
  <c r="N38" s="1"/>
  <c r="J17"/>
  <c r="J35" s="1"/>
  <c r="P17"/>
  <c r="P16" s="1"/>
  <c r="P20" s="1"/>
  <c r="E91"/>
  <c r="L35" s="1"/>
  <c r="F17"/>
  <c r="F16" s="1"/>
  <c r="F30" s="1"/>
  <c r="J21"/>
  <c r="J31" s="1"/>
  <c r="E90"/>
  <c r="P32" s="1"/>
  <c r="G12" i="12"/>
  <c r="P21" i="14"/>
  <c r="D10" i="4"/>
  <c r="D14" s="1"/>
  <c r="P14" i="3"/>
  <c r="P22" s="1"/>
  <c r="J39"/>
  <c r="N9" i="4"/>
  <c r="N10" s="1"/>
  <c r="N44" s="1"/>
  <c r="N17"/>
  <c r="N18" s="1"/>
  <c r="N36" s="1"/>
  <c r="L9"/>
  <c r="L10" s="1"/>
  <c r="L22" s="1"/>
  <c r="K18" i="12"/>
  <c r="K14"/>
  <c r="K12"/>
  <c r="K17" s="1"/>
  <c r="K20"/>
  <c r="K9"/>
  <c r="I16"/>
  <c r="I13"/>
  <c r="I11"/>
  <c r="M21" i="10"/>
  <c r="M10"/>
  <c r="M22" s="1"/>
  <c r="K39"/>
  <c r="K10"/>
  <c r="K40" s="1"/>
  <c r="O31"/>
  <c r="O22"/>
  <c r="O32" s="1"/>
  <c r="E13"/>
  <c r="E10"/>
  <c r="E14" s="1"/>
  <c r="O43"/>
  <c r="O10"/>
  <c r="O44" s="1"/>
  <c r="G31"/>
  <c r="G14"/>
  <c r="G32" s="1"/>
  <c r="I35"/>
  <c r="I36" s="1"/>
  <c r="I32"/>
  <c r="O35"/>
  <c r="O18"/>
  <c r="O36" s="1"/>
  <c r="M39"/>
  <c r="M32"/>
  <c r="M40" s="1"/>
  <c r="M17"/>
  <c r="M14"/>
  <c r="M18" s="1"/>
  <c r="Q43"/>
  <c r="Q32"/>
  <c r="Q44" s="1"/>
  <c r="I17"/>
  <c r="I10"/>
  <c r="I18" s="1"/>
  <c r="K35"/>
  <c r="K14"/>
  <c r="K36" s="1"/>
  <c r="Q25"/>
  <c r="Q10"/>
  <c r="Q26" s="1"/>
  <c r="K31"/>
  <c r="K18"/>
  <c r="K32" s="1"/>
  <c r="Q21"/>
  <c r="Q14"/>
  <c r="Q22" s="1"/>
  <c r="Q42"/>
  <c r="Q33"/>
  <c r="Q41" s="1"/>
  <c r="O42"/>
  <c r="O11"/>
  <c r="O41" s="1"/>
  <c r="M38"/>
  <c r="M37" s="1"/>
  <c r="M33"/>
  <c r="M42"/>
  <c r="M29"/>
  <c r="M41" s="1"/>
  <c r="I16"/>
  <c r="I11"/>
  <c r="I15" s="1"/>
  <c r="K38"/>
  <c r="K11"/>
  <c r="K37" s="1"/>
  <c r="Q39"/>
  <c r="Q36"/>
  <c r="Q40" s="1"/>
  <c r="G35"/>
  <c r="G10"/>
  <c r="G36" s="1"/>
  <c r="O39"/>
  <c r="O14"/>
  <c r="O40" s="1"/>
  <c r="I38"/>
  <c r="I29"/>
  <c r="I37" s="1"/>
  <c r="E34"/>
  <c r="E29"/>
  <c r="E33" s="1"/>
  <c r="G34"/>
  <c r="G11"/>
  <c r="G33" s="1"/>
  <c r="Q24"/>
  <c r="Q11"/>
  <c r="Q23" s="1"/>
  <c r="Q46"/>
  <c r="Q29"/>
  <c r="Q45" s="1"/>
  <c r="P15" i="4" l="1"/>
  <c r="P19" s="1"/>
  <c r="D31"/>
  <c r="D32" s="1"/>
  <c r="F9"/>
  <c r="F35" s="1"/>
  <c r="H31"/>
  <c r="H32" s="1"/>
  <c r="J9"/>
  <c r="J10" s="1"/>
  <c r="J40" s="1"/>
  <c r="D14" i="14"/>
  <c r="H35"/>
  <c r="H34" s="1"/>
  <c r="J10"/>
  <c r="J40" s="1"/>
  <c r="N35"/>
  <c r="L13"/>
  <c r="L21" s="1"/>
  <c r="L20" s="1"/>
  <c r="L12" s="1"/>
  <c r="F13"/>
  <c r="F12" s="1"/>
  <c r="F34" s="1"/>
  <c r="L31"/>
  <c r="L30" s="1"/>
  <c r="L42" s="1"/>
  <c r="P13"/>
  <c r="P12" s="1"/>
  <c r="P24" s="1"/>
  <c r="L17"/>
  <c r="L16" s="1"/>
  <c r="H13"/>
  <c r="H17" s="1"/>
  <c r="D31"/>
  <c r="D35" s="1"/>
  <c r="P35"/>
  <c r="P43" s="1"/>
  <c r="F31"/>
  <c r="N39"/>
  <c r="J20"/>
  <c r="J30" s="1"/>
  <c r="J16"/>
  <c r="J34" s="1"/>
  <c r="N31"/>
  <c r="J13"/>
  <c r="J12" s="1"/>
  <c r="J38" s="1"/>
  <c r="P30" i="3"/>
  <c r="P46" s="1"/>
  <c r="J12"/>
  <c r="J11" s="1"/>
  <c r="J37" s="1"/>
  <c r="N12"/>
  <c r="N11" s="1"/>
  <c r="N41" s="1"/>
  <c r="H34"/>
  <c r="H33" s="1"/>
  <c r="F13"/>
  <c r="F12"/>
  <c r="F34" s="1"/>
  <c r="P10"/>
  <c r="P26" s="1"/>
  <c r="L16"/>
  <c r="L15" s="1"/>
  <c r="H12"/>
  <c r="H11" s="1"/>
  <c r="H15" s="1"/>
  <c r="J15"/>
  <c r="J33" s="1"/>
  <c r="L29"/>
  <c r="L41" s="1"/>
  <c r="P38"/>
  <c r="P37" s="1"/>
  <c r="L12"/>
  <c r="L20" s="1"/>
  <c r="L19" s="1"/>
  <c r="L11" s="1"/>
  <c r="D11"/>
  <c r="J31"/>
  <c r="N23"/>
  <c r="N29" s="1"/>
  <c r="P15"/>
  <c r="P19" s="1"/>
  <c r="L17"/>
  <c r="N18"/>
  <c r="N36" s="1"/>
  <c r="P34"/>
  <c r="P42" s="1"/>
  <c r="P35"/>
  <c r="L35"/>
  <c r="L36" s="1"/>
  <c r="H31"/>
  <c r="L31"/>
  <c r="D31"/>
  <c r="D32" s="1"/>
  <c r="P31"/>
  <c r="H17"/>
  <c r="L34"/>
  <c r="N39"/>
  <c r="H30"/>
  <c r="N31"/>
  <c r="J35"/>
  <c r="L21"/>
  <c r="J38"/>
  <c r="N42"/>
  <c r="F35"/>
  <c r="N43"/>
  <c r="G11" i="12"/>
  <c r="P29" i="3"/>
  <c r="P45" s="1"/>
  <c r="H16"/>
  <c r="D29"/>
  <c r="D33" s="1"/>
  <c r="N13" i="4"/>
  <c r="L13"/>
  <c r="L14" s="1"/>
  <c r="L18" s="1"/>
  <c r="L35"/>
  <c r="L36" s="1"/>
  <c r="L31"/>
  <c r="L32" s="1"/>
  <c r="L40" s="1"/>
  <c r="J13"/>
  <c r="J35" s="1"/>
  <c r="N21"/>
  <c r="N31" s="1"/>
  <c r="P31"/>
  <c r="P32" s="1"/>
  <c r="P44" s="1"/>
  <c r="N19"/>
  <c r="N33" s="1"/>
  <c r="N23"/>
  <c r="N29" s="1"/>
  <c r="P11" i="3"/>
  <c r="P23" s="1"/>
  <c r="L21" i="4"/>
  <c r="D30"/>
  <c r="D29" s="1"/>
  <c r="D33" s="1"/>
  <c r="H9"/>
  <c r="P17"/>
  <c r="P18" s="1"/>
  <c r="P9"/>
  <c r="P10" s="1"/>
  <c r="P26" s="1"/>
  <c r="N35"/>
  <c r="P42"/>
  <c r="P35"/>
  <c r="J17"/>
  <c r="J31" s="1"/>
  <c r="H30"/>
  <c r="H34"/>
  <c r="H33" s="1"/>
  <c r="N43"/>
  <c r="F13"/>
  <c r="P13"/>
  <c r="N15"/>
  <c r="N37" s="1"/>
  <c r="L34"/>
  <c r="F12"/>
  <c r="L16"/>
  <c r="L15" s="1"/>
  <c r="L12"/>
  <c r="L20" s="1"/>
  <c r="L19" s="1"/>
  <c r="L11" s="1"/>
  <c r="H12"/>
  <c r="J30"/>
  <c r="J19"/>
  <c r="J29" s="1"/>
  <c r="L30"/>
  <c r="P38"/>
  <c r="P37" s="1"/>
  <c r="P30"/>
  <c r="J15"/>
  <c r="J33" s="1"/>
  <c r="J34"/>
  <c r="P12"/>
  <c r="J12"/>
  <c r="N12"/>
  <c r="G17" i="9"/>
  <c r="G18" s="1"/>
  <c r="G13"/>
  <c r="G14" s="1"/>
  <c r="G11"/>
  <c r="G12" s="1"/>
  <c r="E15"/>
  <c r="E16" s="1"/>
  <c r="E13"/>
  <c r="E14" s="1"/>
  <c r="M10" s="1"/>
  <c r="E11"/>
  <c r="E12" s="1"/>
  <c r="M9" s="1"/>
  <c r="I11"/>
  <c r="I12" s="1"/>
  <c r="I25"/>
  <c r="I26" s="1"/>
  <c r="I27"/>
  <c r="I28" s="1"/>
  <c r="G19"/>
  <c r="G20" s="1"/>
  <c r="G15"/>
  <c r="G16" s="1"/>
  <c r="I13"/>
  <c r="I14" s="1"/>
  <c r="G9"/>
  <c r="G10" s="1"/>
  <c r="G21"/>
  <c r="G22" s="1"/>
  <c r="I17"/>
  <c r="I18" s="1"/>
  <c r="I21"/>
  <c r="I22" s="1"/>
  <c r="I9"/>
  <c r="I10" s="1"/>
  <c r="E9"/>
  <c r="E10" s="1"/>
  <c r="I15"/>
  <c r="I16" s="1"/>
  <c r="I19"/>
  <c r="I20" s="1"/>
  <c r="I23"/>
  <c r="I24" s="1"/>
  <c r="G40"/>
  <c r="G39" s="1"/>
  <c r="G44"/>
  <c r="G43" s="1"/>
  <c r="I34"/>
  <c r="I33" s="1"/>
  <c r="G38"/>
  <c r="G37" s="1"/>
  <c r="G32"/>
  <c r="G31" s="1"/>
  <c r="I36"/>
  <c r="I35" s="1"/>
  <c r="G34"/>
  <c r="G33" s="1"/>
  <c r="E36"/>
  <c r="E35" s="1"/>
  <c r="I44"/>
  <c r="I43" s="1"/>
  <c r="I48"/>
  <c r="I47" s="1"/>
  <c r="G36"/>
  <c r="G35" s="1"/>
  <c r="E32"/>
  <c r="I38"/>
  <c r="I37" s="1"/>
  <c r="I40"/>
  <c r="I39" s="1"/>
  <c r="I50"/>
  <c r="I49" s="1"/>
  <c r="I32"/>
  <c r="I31" s="1"/>
  <c r="E34"/>
  <c r="E33" s="1"/>
  <c r="I42"/>
  <c r="I41" s="1"/>
  <c r="I46"/>
  <c r="I45" s="1"/>
  <c r="G42"/>
  <c r="G41" s="1"/>
  <c r="F15" i="4"/>
  <c r="F29" s="1"/>
  <c r="F30"/>
  <c r="L36" i="14"/>
  <c r="L37" s="1"/>
  <c r="N10"/>
  <c r="N44" s="1"/>
  <c r="H14"/>
  <c r="H15" s="1"/>
  <c r="F14"/>
  <c r="J18"/>
  <c r="J19" s="1"/>
  <c r="J33" s="1"/>
  <c r="P10"/>
  <c r="P26" s="1"/>
  <c r="H32"/>
  <c r="H33" s="1"/>
  <c r="D32"/>
  <c r="D33" s="1"/>
  <c r="L32"/>
  <c r="L33" s="1"/>
  <c r="L41" s="1"/>
  <c r="F10"/>
  <c r="F36" s="1"/>
  <c r="H10"/>
  <c r="H11" s="1"/>
  <c r="H19" s="1"/>
  <c r="J14"/>
  <c r="J36" s="1"/>
  <c r="L10"/>
  <c r="L11" s="1"/>
  <c r="L23" s="1"/>
  <c r="N18"/>
  <c r="N36" s="1"/>
  <c r="P36"/>
  <c r="P40" s="1"/>
  <c r="N13"/>
  <c r="N12" s="1"/>
  <c r="N42" s="1"/>
  <c r="P31"/>
  <c r="P30" s="1"/>
  <c r="P46" s="1"/>
  <c r="P39"/>
  <c r="P38" s="1"/>
  <c r="H31"/>
  <c r="H30" s="1"/>
  <c r="H38" s="1"/>
  <c r="P18"/>
  <c r="P19" s="1"/>
  <c r="L14"/>
  <c r="L18" s="1"/>
  <c r="N14"/>
  <c r="N40" s="1"/>
  <c r="N22"/>
  <c r="N23" s="1"/>
  <c r="N33" s="1"/>
  <c r="P14"/>
  <c r="P22" s="1"/>
  <c r="L39"/>
  <c r="L38" s="1"/>
  <c r="L34"/>
  <c r="J15"/>
  <c r="J37" s="1"/>
  <c r="D30"/>
  <c r="D34" s="1"/>
  <c r="F32"/>
  <c r="F15"/>
  <c r="F33" s="1"/>
  <c r="P44"/>
  <c r="P33"/>
  <c r="P45" s="1"/>
  <c r="F31" i="3"/>
  <c r="F14"/>
  <c r="F32" s="1"/>
  <c r="K19" i="12"/>
  <c r="K11"/>
  <c r="K13"/>
  <c r="K16"/>
  <c r="P25" i="4" l="1"/>
  <c r="L39"/>
  <c r="F10"/>
  <c r="F36" s="1"/>
  <c r="H35"/>
  <c r="H36" s="1"/>
  <c r="J39"/>
  <c r="N22"/>
  <c r="N32" s="1"/>
  <c r="P43"/>
  <c r="J14"/>
  <c r="J36" s="1"/>
  <c r="H12" i="14"/>
  <c r="H16" s="1"/>
  <c r="H36"/>
  <c r="H37" s="1"/>
  <c r="P37"/>
  <c r="P41" s="1"/>
  <c r="J11"/>
  <c r="J41" s="1"/>
  <c r="L43"/>
  <c r="P34"/>
  <c r="P42" s="1"/>
  <c r="N32"/>
  <c r="P25"/>
  <c r="H18"/>
  <c r="H39"/>
  <c r="N19"/>
  <c r="N37" s="1"/>
  <c r="L15"/>
  <c r="L19" s="1"/>
  <c r="F35"/>
  <c r="N11"/>
  <c r="N45" s="1"/>
  <c r="F11"/>
  <c r="F37" s="1"/>
  <c r="P11"/>
  <c r="P27" s="1"/>
  <c r="J32"/>
  <c r="N15"/>
  <c r="N41" s="1"/>
  <c r="J39"/>
  <c r="P47"/>
  <c r="L40"/>
  <c r="N43"/>
  <c r="L22"/>
  <c r="F11" i="3"/>
  <c r="F33" s="1"/>
  <c r="L33"/>
  <c r="L38"/>
  <c r="L37" s="1"/>
  <c r="P36"/>
  <c r="P40" s="1"/>
  <c r="P39"/>
  <c r="P33"/>
  <c r="P41" s="1"/>
  <c r="P32"/>
  <c r="P44" s="1"/>
  <c r="P43"/>
  <c r="L39"/>
  <c r="L32"/>
  <c r="L40" s="1"/>
  <c r="H29"/>
  <c r="H37" s="1"/>
  <c r="H38"/>
  <c r="H35"/>
  <c r="H36" s="1"/>
  <c r="H32"/>
  <c r="N14" i="4"/>
  <c r="N40" s="1"/>
  <c r="N39"/>
  <c r="L17"/>
  <c r="D34"/>
  <c r="H10"/>
  <c r="H18" s="1"/>
  <c r="H17"/>
  <c r="J18"/>
  <c r="J32" s="1"/>
  <c r="F11"/>
  <c r="F33" s="1"/>
  <c r="F34"/>
  <c r="F31"/>
  <c r="F14"/>
  <c r="F32" s="1"/>
  <c r="P14"/>
  <c r="P22" s="1"/>
  <c r="P21"/>
  <c r="P39"/>
  <c r="P36"/>
  <c r="P40" s="1"/>
  <c r="L33"/>
  <c r="L38"/>
  <c r="L37" s="1"/>
  <c r="H29"/>
  <c r="H37" s="1"/>
  <c r="H38"/>
  <c r="N11"/>
  <c r="N41" s="1"/>
  <c r="N42"/>
  <c r="P11"/>
  <c r="P23" s="1"/>
  <c r="P24"/>
  <c r="J38"/>
  <c r="J11"/>
  <c r="J37" s="1"/>
  <c r="L29"/>
  <c r="L41" s="1"/>
  <c r="L42"/>
  <c r="P29"/>
  <c r="P45" s="1"/>
  <c r="P46"/>
  <c r="H11"/>
  <c r="H15" s="1"/>
  <c r="H16"/>
  <c r="E31" i="9"/>
  <c r="E38"/>
  <c r="E37" s="1"/>
  <c r="P15" i="14"/>
  <c r="P23" s="1"/>
</calcChain>
</file>

<file path=xl/sharedStrings.xml><?xml version="1.0" encoding="utf-8"?>
<sst xmlns="http://schemas.openxmlformats.org/spreadsheetml/2006/main" count="1957" uniqueCount="244">
  <si>
    <t>Shunt C</t>
  </si>
  <si>
    <t>Series L</t>
  </si>
  <si>
    <t>C1 (pf)</t>
  </si>
  <si>
    <t>L2 (uh)</t>
  </si>
  <si>
    <t>C3 (pf)</t>
  </si>
  <si>
    <t>KC (pf) =</t>
  </si>
  <si>
    <t>KL (uh) =</t>
  </si>
  <si>
    <t>L4 (uh)</t>
  </si>
  <si>
    <t>C5 (pf)</t>
  </si>
  <si>
    <t>(Std LP)</t>
  </si>
  <si>
    <t>L6 (uh)</t>
  </si>
  <si>
    <t>C7 (pf)</t>
  </si>
  <si>
    <t>L8 (uh)</t>
  </si>
  <si>
    <t>Source / Load Impedance (ohms)</t>
  </si>
  <si>
    <t>Cut-off frequency (Mhz)</t>
  </si>
  <si>
    <t xml:space="preserve">            3 section</t>
  </si>
  <si>
    <t xml:space="preserve">             4 section</t>
  </si>
  <si>
    <t xml:space="preserve">              5 section</t>
  </si>
  <si>
    <t xml:space="preserve">             6 section</t>
  </si>
  <si>
    <t xml:space="preserve">             7 section</t>
  </si>
  <si>
    <t xml:space="preserve">             8 section</t>
  </si>
  <si>
    <t xml:space="preserve">            9 section</t>
  </si>
  <si>
    <t>L1 (uh)</t>
  </si>
  <si>
    <t>C2 (pf)</t>
  </si>
  <si>
    <t>L3 (uh)</t>
  </si>
  <si>
    <t>C4 (pf)</t>
  </si>
  <si>
    <t>L5 (uh)</t>
  </si>
  <si>
    <t>C6 (pf)</t>
  </si>
  <si>
    <t>L7 (uh)</t>
  </si>
  <si>
    <t>C8 (pf)</t>
  </si>
  <si>
    <t>L9 (uh)</t>
  </si>
  <si>
    <t xml:space="preserve">            3 Section</t>
  </si>
  <si>
    <t xml:space="preserve">              4 Section</t>
  </si>
  <si>
    <t xml:space="preserve">             5 Section</t>
  </si>
  <si>
    <t xml:space="preserve">             6 Section</t>
  </si>
  <si>
    <t xml:space="preserve">                7 Section</t>
  </si>
  <si>
    <t xml:space="preserve">               8 Section</t>
  </si>
  <si>
    <t xml:space="preserve">              9 Section</t>
  </si>
  <si>
    <t>C9 (pf)</t>
  </si>
  <si>
    <t>Shunt L</t>
  </si>
  <si>
    <t>Series C</t>
  </si>
  <si>
    <t>(Std HP)</t>
  </si>
  <si>
    <t xml:space="preserve">Minimum number of capacitors </t>
  </si>
  <si>
    <t>Minimum numbers of inductors</t>
  </si>
  <si>
    <t>Minimum number of capacitors</t>
  </si>
  <si>
    <t>Butterworth Bandpass Filter 3 through 9 Sections</t>
  </si>
  <si>
    <t>3 Section</t>
  </si>
  <si>
    <t>F0</t>
  </si>
  <si>
    <t>BW</t>
  </si>
  <si>
    <t>PI</t>
  </si>
  <si>
    <t>FH</t>
  </si>
  <si>
    <t>FL</t>
  </si>
  <si>
    <t>FC</t>
  </si>
  <si>
    <t>KA</t>
  </si>
  <si>
    <t>CFORM</t>
  </si>
  <si>
    <t>LFORM</t>
  </si>
  <si>
    <t xml:space="preserve">L3 (uh) </t>
  </si>
  <si>
    <t xml:space="preserve">    Source / Load Impedance (ohms)</t>
  </si>
  <si>
    <t>4 Section</t>
  </si>
  <si>
    <t xml:space="preserve">C2 (pf) </t>
  </si>
  <si>
    <t xml:space="preserve">            5 section</t>
  </si>
  <si>
    <t>Constant</t>
  </si>
  <si>
    <t xml:space="preserve">           8 Section</t>
  </si>
  <si>
    <t xml:space="preserve">          7 Section</t>
  </si>
  <si>
    <t xml:space="preserve">         9 Section</t>
  </si>
  <si>
    <t xml:space="preserve">            5 Section</t>
  </si>
  <si>
    <t>L4 (pf)</t>
  </si>
  <si>
    <t xml:space="preserve">           4 Section</t>
  </si>
  <si>
    <t xml:space="preserve">          6 Section</t>
  </si>
  <si>
    <t xml:space="preserve">           7 Section</t>
  </si>
  <si>
    <t xml:space="preserve">        9 Section</t>
  </si>
  <si>
    <t>Lconst</t>
  </si>
  <si>
    <t>Cconst</t>
  </si>
  <si>
    <t xml:space="preserve">                       Bandwidth (MHz)</t>
  </si>
  <si>
    <t>Sheet 3  Butterworth BP</t>
  </si>
  <si>
    <t xml:space="preserve">            Center Frequency (MHz)</t>
  </si>
  <si>
    <t>Sorce / Load Impedance (ohms)</t>
  </si>
  <si>
    <t>Cut-off Frequency (MHz)</t>
  </si>
  <si>
    <t>L2(uh)</t>
  </si>
  <si>
    <t xml:space="preserve">                5 Section</t>
  </si>
  <si>
    <t xml:space="preserve">               4 Section</t>
  </si>
  <si>
    <t xml:space="preserve">           6 Section</t>
  </si>
  <si>
    <t xml:space="preserve">             7 Section</t>
  </si>
  <si>
    <t>Minimum number of inductors</t>
  </si>
  <si>
    <t>(Tchebycheff 0.1 db ripple)</t>
  </si>
  <si>
    <t>Tchebycheff BP Filter 3 through 9 Sections (0.1 dB Ripple)</t>
  </si>
  <si>
    <t>open ckt</t>
  </si>
  <si>
    <t>shorted</t>
  </si>
  <si>
    <t xml:space="preserve">               Zero Frequencies</t>
  </si>
  <si>
    <t>3 section</t>
  </si>
  <si>
    <t>F2 (MHz)</t>
  </si>
  <si>
    <t>5 section</t>
  </si>
  <si>
    <t>F4 (MHz)</t>
  </si>
  <si>
    <t>6 section</t>
  </si>
  <si>
    <t>F6 (MHz)</t>
  </si>
  <si>
    <t>4 section</t>
  </si>
  <si>
    <t>Sheet 5  Cauer LP</t>
  </si>
  <si>
    <t>Sheet 6  Cauer HP</t>
  </si>
  <si>
    <t xml:space="preserve">KC (pf) </t>
  </si>
  <si>
    <t>KL (uh)</t>
  </si>
  <si>
    <t xml:space="preserve">  Source / Load Impedance (ohms)</t>
  </si>
  <si>
    <t>7 section   F2 (MHz)</t>
  </si>
  <si>
    <t>Sheet 7 Linear Phase LP</t>
  </si>
  <si>
    <t>Linear Phase (0.05 deg Phase Error)</t>
  </si>
  <si>
    <t>C2a (pf)</t>
  </si>
  <si>
    <t>L2a (uh)</t>
  </si>
  <si>
    <t>C2b (pf)</t>
  </si>
  <si>
    <t>L2b (uh)</t>
  </si>
  <si>
    <t>Cform</t>
  </si>
  <si>
    <t>Lform</t>
  </si>
  <si>
    <t>KC (pf)</t>
  </si>
  <si>
    <t>OM2</t>
  </si>
  <si>
    <t>BW2</t>
  </si>
  <si>
    <t>F2A</t>
  </si>
  <si>
    <t>F2B</t>
  </si>
  <si>
    <t xml:space="preserve">                         3 Section</t>
  </si>
  <si>
    <t>Zero Frequencies</t>
  </si>
  <si>
    <t>F2a (MHz)</t>
  </si>
  <si>
    <t>F2b (MHz)</t>
  </si>
  <si>
    <t xml:space="preserve">                   5 Section</t>
  </si>
  <si>
    <t>C4a (pf)</t>
  </si>
  <si>
    <t>L4a (uh)</t>
  </si>
  <si>
    <t>C4b (pf)</t>
  </si>
  <si>
    <t>L4b (uh)</t>
  </si>
  <si>
    <t>F4a (MHz)</t>
  </si>
  <si>
    <t>F4b (MHz)</t>
  </si>
  <si>
    <t>BW4</t>
  </si>
  <si>
    <t>F4A</t>
  </si>
  <si>
    <t>F4B</t>
  </si>
  <si>
    <t>OM4</t>
  </si>
  <si>
    <t xml:space="preserve">                       3 Section</t>
  </si>
  <si>
    <t xml:space="preserve">                         5 Section</t>
  </si>
  <si>
    <t>1+(FB/F2A)^2</t>
  </si>
  <si>
    <t>1+(FB/F2B)^2</t>
  </si>
  <si>
    <t>1+(FB/F4A)^2</t>
  </si>
  <si>
    <t>1+(FB/F4B)^2</t>
  </si>
  <si>
    <t xml:space="preserve">              Source / Load Impedance (ohms)</t>
  </si>
  <si>
    <t>FC ( FB)</t>
  </si>
  <si>
    <t>Tchebycheff Bandstop Filter 3 through 9 Sections (0.1 dB Ripple)</t>
  </si>
  <si>
    <t>Sheet 9 Bandstop Filter</t>
  </si>
  <si>
    <t xml:space="preserve">                     Low Pass Filter </t>
  </si>
  <si>
    <t xml:space="preserve">                 High Pass Filter</t>
  </si>
  <si>
    <t xml:space="preserve">                   Low Pass Filter </t>
  </si>
  <si>
    <t xml:space="preserve">          3 Section (50 dB)</t>
  </si>
  <si>
    <t xml:space="preserve">         3 Section (50 dB)</t>
  </si>
  <si>
    <t>Cauer Low Pass Filter 3 through 7 Sections (0.1 dB Ripple, 50 to 55 dB Stopband Rejection)</t>
  </si>
  <si>
    <t>Cauer High Pass Filter 3 through 7 Sections (0.1 dB Ripple, 50 to 55 dB Stopband Rejection)</t>
  </si>
  <si>
    <t>C6a (pf)</t>
  </si>
  <si>
    <t>L6a (uh)</t>
  </si>
  <si>
    <t>C6b (pf)</t>
  </si>
  <si>
    <t>L6b (uh)</t>
  </si>
  <si>
    <t xml:space="preserve">                   7 Section</t>
  </si>
  <si>
    <t>L7 (pf)</t>
  </si>
  <si>
    <t xml:space="preserve">                    7 Section</t>
  </si>
  <si>
    <t>OM6</t>
  </si>
  <si>
    <t>BW6</t>
  </si>
  <si>
    <t>F6A</t>
  </si>
  <si>
    <t>F6B</t>
  </si>
  <si>
    <t>1+(FB/F6A)^2</t>
  </si>
  <si>
    <t>F6a (MHz)</t>
  </si>
  <si>
    <t>F6b (MHz)</t>
  </si>
  <si>
    <t xml:space="preserve">            7 Section</t>
  </si>
  <si>
    <t>Cauer BP Filter (3, 5, and 7 Sections, 0.1 dB ripple, 55 dB rejection)</t>
  </si>
  <si>
    <t>Sheet 8 Cauer BP (3, 5, &amp; 7 Sec)</t>
  </si>
  <si>
    <t>This sheet  Butterworth BP</t>
  </si>
  <si>
    <t>This sheet  Cauer LP</t>
  </si>
  <si>
    <t>This sheet  Cauer HP</t>
  </si>
  <si>
    <t>This sheet Linear Phase LP</t>
  </si>
  <si>
    <t>This sheet Cauer BP (3, 5, &amp; 7 Sec)</t>
  </si>
  <si>
    <t>This sheet Bandstop Filter</t>
  </si>
  <si>
    <t>Zero Freq (MHz) =</t>
  </si>
  <si>
    <t>Alpha</t>
  </si>
  <si>
    <t xml:space="preserve">Beta </t>
  </si>
  <si>
    <t>Zero Freq</t>
  </si>
  <si>
    <t xml:space="preserve">Pole Freq </t>
  </si>
  <si>
    <t xml:space="preserve">             Source / Load Impedance (ohms)</t>
  </si>
  <si>
    <t>Sheet 10 Bridged Tee Phase Corrector</t>
  </si>
  <si>
    <t>This sheet Bridged Tee Phase Corrector</t>
  </si>
  <si>
    <t>All Pass Bridged Tee Phase Corrector Filter Section</t>
  </si>
  <si>
    <t xml:space="preserve">                     Real Frequency (MHz) </t>
  </si>
  <si>
    <t xml:space="preserve">                   Imaginary Frequency (MHz) </t>
  </si>
  <si>
    <t xml:space="preserve">C1-2 (pf) </t>
  </si>
  <si>
    <t>C2-3 (pf)</t>
  </si>
  <si>
    <t xml:space="preserve">         Estimated Inductor Q</t>
  </si>
  <si>
    <t>Est. IL (dB)</t>
  </si>
  <si>
    <t>C1-2 (pf)</t>
  </si>
  <si>
    <t>C3-4 (pf)</t>
  </si>
  <si>
    <t>C4-5 (pf)</t>
  </si>
  <si>
    <t>This sheet High Side C Band pass Filter</t>
  </si>
  <si>
    <t>L4 (uh))</t>
  </si>
  <si>
    <t>C5-6 (pf)</t>
  </si>
  <si>
    <t>Sheet 11 High Side C Bandpass Filter</t>
  </si>
  <si>
    <t>Sheet 11 High Side C bandpass Filter</t>
  </si>
  <si>
    <t>High Side C Bandpass Filter (Equal Inductances)</t>
  </si>
  <si>
    <t>Sheet 11 High Side C Bandpass Filter (Equal Inductances)</t>
  </si>
  <si>
    <t>(2 Section BP is Butterworth)</t>
  </si>
  <si>
    <t>(3 thru 6 Sections Tchebbycheff, 0.1 dB ripple)</t>
  </si>
  <si>
    <t>(Tchebycheff 0.044 db ripple)</t>
  </si>
  <si>
    <t>Sheet 12 Tchebycheff LP  0.044 dB</t>
  </si>
  <si>
    <t>Tchebycheff BP Filter 3 through 9 Sections (0.044 dB Ripple)</t>
  </si>
  <si>
    <t>Sheet 4 Tcebycheff BP 0.1 dB ripple</t>
  </si>
  <si>
    <t>Sheet 4  Tchebycheff BP   0.1 dB ripple</t>
  </si>
  <si>
    <t>Sheet 4  Tchebycheff BP   0.1 dB</t>
  </si>
  <si>
    <t>Sheet 12 Tchebycheff LP     0.044 dB</t>
  </si>
  <si>
    <t>Sheet 13 Tchebycheff BP     0.044 dB</t>
  </si>
  <si>
    <t>Sheet 13 Tchebycheff BP   0.044 dB</t>
  </si>
  <si>
    <t>This sheet  Tchebycheff BP    0.1 dB</t>
  </si>
  <si>
    <t>Sheet 12 Tchebycheff LP   0.044 dB</t>
  </si>
  <si>
    <t>Sheet 13 Tchebycheff BP    0.044 dB</t>
  </si>
  <si>
    <t>Sheet 4  Tchebycheff BP     0.1 dB</t>
  </si>
  <si>
    <t>Sheet 12 Tchebycheff LP    0.044 dB</t>
  </si>
  <si>
    <t>Sheet 1 Tchebycheff LP   0.1 dB</t>
  </si>
  <si>
    <t>Sheet 4  Tchebycheff BP    0.1dB</t>
  </si>
  <si>
    <t>Sheet 1 Tchebycheff LP    0.1 dB</t>
  </si>
  <si>
    <t>Sheet 4  Tchebycheff BP    0.1 dB</t>
  </si>
  <si>
    <t>Sheet 1 Tchebycheff LP      0.1 dB</t>
  </si>
  <si>
    <t>This sheet Tchebycheff BP    0.044 dB</t>
  </si>
  <si>
    <t>This sheet Tchebycheff LP    0.1 dB</t>
  </si>
  <si>
    <t xml:space="preserve">Sheet 12 Tchebycheff LP   0.044 dB </t>
  </si>
  <si>
    <t>Sheet 1 Tchebycheff LP     0.1 dB</t>
  </si>
  <si>
    <t>Sheet 2  Tchebycheff HP Filter     0.1 dB</t>
  </si>
  <si>
    <t>Sheet 13 Tchebycheff BP  Filter     0.044 dB ripple</t>
  </si>
  <si>
    <t>Sheet 14 Tchebycheff HP Filter     0.044 dB</t>
  </si>
  <si>
    <t>Sheet 12 Tchebycheff LP filter      0.044 dB ripple</t>
  </si>
  <si>
    <t>This sheet Tchebycheff HP Filter     0.044 dB</t>
  </si>
  <si>
    <t>Sheet 14 Tchebycheff HP      0.044 dB</t>
  </si>
  <si>
    <t>Sheet 2  HP Filter    0.1 dB</t>
  </si>
  <si>
    <t>This sheet HP Filter     0.1 dB</t>
  </si>
  <si>
    <t>Sheet 2  HP Filter     0.1 dB</t>
  </si>
  <si>
    <t>Sheet 2  HP Filter      0.1 dB</t>
  </si>
  <si>
    <t>Sheet 2  Tchebycheff HP Filter    0.1 dB</t>
  </si>
  <si>
    <t>Sheet 2  Tchebycheff HP Filter   0.1 dB</t>
  </si>
  <si>
    <t>Sheet 2 Tchebycheff  HP Filter     0.1 dB</t>
  </si>
  <si>
    <t>Sheet 2 Tchebycheff HP Filter    0.1 dB</t>
  </si>
  <si>
    <t>Sheet 2 Tchebycheff HP Filter   0.1 dB</t>
  </si>
  <si>
    <t>High Pass Filter (Tchebycheff 0.044 db ripple)</t>
  </si>
  <si>
    <t>Sheet 11 High Side C Bandpass Filter (Equal Inductors)</t>
  </si>
  <si>
    <t>This sheet Tchebycheff Low Pass    0.044 dB ripple</t>
  </si>
  <si>
    <t>Sheet 1 Tchebycheff Low Pass 0.1 dB ripple</t>
  </si>
  <si>
    <t xml:space="preserve">               Low Pass Filter </t>
  </si>
  <si>
    <t>1+ (FB/F6B)^2</t>
  </si>
  <si>
    <t>Sheet 14 Tchebycheff HP   0.044 dB</t>
  </si>
  <si>
    <t>11% BW max</t>
  </si>
  <si>
    <t xml:space="preserve">       2 Section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</si>
</sst>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"/>
    <numFmt numFmtId="166" formatCode="0.0000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5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ash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 diagonalUp="1" diagonalDown="1">
      <left style="thin">
        <color indexed="64"/>
      </left>
      <right/>
      <top style="dotted">
        <color indexed="64"/>
      </top>
      <bottom style="thin">
        <color indexed="64"/>
      </bottom>
      <diagonal style="dotted">
        <color indexed="64"/>
      </diagonal>
    </border>
    <border diagonalUp="1" diagonalDown="1">
      <left/>
      <right style="thin">
        <color indexed="64"/>
      </right>
      <top style="dotted">
        <color indexed="64"/>
      </top>
      <bottom style="thin">
        <color indexed="64"/>
      </bottom>
      <diagonal style="dotted">
        <color indexed="64"/>
      </diagonal>
    </border>
    <border diagonalUp="1" diagonalDown="1">
      <left style="thin">
        <color indexed="64"/>
      </left>
      <right/>
      <top style="dashed">
        <color indexed="64"/>
      </top>
      <bottom style="thin">
        <color indexed="64"/>
      </bottom>
      <diagonal style="dotted">
        <color indexed="64"/>
      </diagonal>
    </border>
    <border diagonalUp="1" diagonalDown="1">
      <left/>
      <right style="thin">
        <color indexed="64"/>
      </right>
      <top style="dashed">
        <color indexed="64"/>
      </top>
      <bottom style="thin">
        <color indexed="64"/>
      </bottom>
      <diagonal style="dotted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</borders>
  <cellStyleXfs count="1">
    <xf numFmtId="0" fontId="0" fillId="0" borderId="0"/>
  </cellStyleXfs>
  <cellXfs count="190">
    <xf numFmtId="0" fontId="0" fillId="0" borderId="0" xfId="0"/>
    <xf numFmtId="0" fontId="2" fillId="0" borderId="0" xfId="0" applyFont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1" fillId="0" borderId="13" xfId="0" applyFont="1" applyBorder="1"/>
    <xf numFmtId="0" fontId="1" fillId="0" borderId="14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/>
    <xf numFmtId="0" fontId="1" fillId="0" borderId="5" xfId="0" applyFont="1" applyBorder="1"/>
    <xf numFmtId="0" fontId="1" fillId="0" borderId="2" xfId="0" applyFont="1" applyFill="1" applyBorder="1"/>
    <xf numFmtId="0" fontId="1" fillId="0" borderId="13" xfId="0" applyFont="1" applyFill="1" applyBorder="1"/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11" xfId="0" applyBorder="1"/>
    <xf numFmtId="0" fontId="1" fillId="0" borderId="1" xfId="0" applyFont="1" applyBorder="1" applyAlignment="1"/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Fill="1" applyBorder="1"/>
    <xf numFmtId="0" fontId="1" fillId="0" borderId="11" xfId="0" applyFont="1" applyBorder="1"/>
    <xf numFmtId="0" fontId="1" fillId="0" borderId="25" xfId="0" applyFont="1" applyBorder="1"/>
    <xf numFmtId="0" fontId="1" fillId="0" borderId="17" xfId="0" applyFont="1" applyBorder="1"/>
    <xf numFmtId="0" fontId="1" fillId="0" borderId="6" xfId="0" applyFont="1" applyBorder="1"/>
    <xf numFmtId="0" fontId="1" fillId="0" borderId="34" xfId="0" applyFont="1" applyBorder="1"/>
    <xf numFmtId="0" fontId="1" fillId="0" borderId="43" xfId="0" applyFont="1" applyBorder="1"/>
    <xf numFmtId="0" fontId="1" fillId="0" borderId="24" xfId="0" applyFont="1" applyBorder="1"/>
    <xf numFmtId="0" fontId="1" fillId="0" borderId="44" xfId="0" applyFont="1" applyBorder="1"/>
    <xf numFmtId="0" fontId="1" fillId="0" borderId="3" xfId="0" applyFont="1" applyBorder="1" applyAlignment="1"/>
    <xf numFmtId="0" fontId="1" fillId="0" borderId="0" xfId="0" applyFont="1" applyBorder="1" applyAlignment="1"/>
    <xf numFmtId="0" fontId="1" fillId="0" borderId="30" xfId="0" applyFont="1" applyBorder="1" applyAlignment="1"/>
    <xf numFmtId="0" fontId="1" fillId="0" borderId="32" xfId="0" applyFont="1" applyBorder="1" applyAlignment="1"/>
    <xf numFmtId="0" fontId="1" fillId="0" borderId="46" xfId="0" applyFont="1" applyBorder="1" applyAlignment="1"/>
    <xf numFmtId="0" fontId="1" fillId="0" borderId="38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52" xfId="0" applyFont="1" applyBorder="1"/>
    <xf numFmtId="0" fontId="1" fillId="0" borderId="13" xfId="0" applyFont="1" applyBorder="1" applyAlignment="1"/>
    <xf numFmtId="0" fontId="3" fillId="0" borderId="1" xfId="0" applyFont="1" applyBorder="1"/>
    <xf numFmtId="0" fontId="3" fillId="0" borderId="3" xfId="0" applyFont="1" applyBorder="1"/>
    <xf numFmtId="0" fontId="3" fillId="0" borderId="3" xfId="0" applyFont="1" applyFill="1" applyBorder="1"/>
    <xf numFmtId="0" fontId="4" fillId="0" borderId="0" xfId="0" applyFont="1"/>
    <xf numFmtId="0" fontId="5" fillId="0" borderId="3" xfId="0" applyFont="1" applyFill="1" applyBorder="1"/>
    <xf numFmtId="0" fontId="1" fillId="0" borderId="0" xfId="0" applyFont="1"/>
    <xf numFmtId="0" fontId="0" fillId="0" borderId="0" xfId="0" applyNumberFormat="1" applyBorder="1" applyAlignment="1">
      <alignment horizontal="center"/>
    </xf>
    <xf numFmtId="0" fontId="5" fillId="0" borderId="3" xfId="0" applyFont="1" applyBorder="1"/>
    <xf numFmtId="0" fontId="3" fillId="0" borderId="0" xfId="0" applyFont="1"/>
    <xf numFmtId="0" fontId="3" fillId="0" borderId="2" xfId="0" applyFont="1" applyBorder="1"/>
    <xf numFmtId="0" fontId="5" fillId="0" borderId="1" xfId="0" applyFont="1" applyBorder="1"/>
    <xf numFmtId="0" fontId="6" fillId="0" borderId="2" xfId="0" applyFont="1" applyBorder="1"/>
    <xf numFmtId="0" fontId="6" fillId="0" borderId="9" xfId="0" applyFont="1" applyBorder="1"/>
    <xf numFmtId="0" fontId="3" fillId="0" borderId="4" xfId="0" applyFont="1" applyBorder="1"/>
    <xf numFmtId="0" fontId="3" fillId="0" borderId="5" xfId="0" applyFont="1" applyBorder="1"/>
    <xf numFmtId="0" fontId="1" fillId="0" borderId="55" xfId="0" applyFont="1" applyBorder="1"/>
    <xf numFmtId="0" fontId="1" fillId="0" borderId="34" xfId="0" applyFont="1" applyBorder="1" applyAlignment="1">
      <alignment horizontal="center"/>
    </xf>
    <xf numFmtId="2" fontId="1" fillId="0" borderId="35" xfId="0" applyNumberFormat="1" applyFont="1" applyBorder="1" applyAlignment="1">
      <alignment horizontal="center"/>
    </xf>
    <xf numFmtId="0" fontId="1" fillId="3" borderId="9" xfId="0" applyFont="1" applyFill="1" applyBorder="1" applyAlignment="1" applyProtection="1">
      <alignment horizontal="center"/>
      <protection locked="0"/>
    </xf>
    <xf numFmtId="0" fontId="1" fillId="0" borderId="24" xfId="0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1" xfId="0" applyFont="1" applyFill="1" applyBorder="1" applyAlignment="1" applyProtection="1">
      <alignment horizontal="center"/>
      <protection locked="0"/>
    </xf>
    <xf numFmtId="0" fontId="1" fillId="0" borderId="30" xfId="0" applyFont="1" applyBorder="1" applyAlignment="1">
      <alignment horizontal="center"/>
    </xf>
    <xf numFmtId="2" fontId="1" fillId="0" borderId="31" xfId="0" applyNumberFormat="1" applyFont="1" applyBorder="1" applyAlignment="1">
      <alignment horizontal="center"/>
    </xf>
    <xf numFmtId="2" fontId="1" fillId="0" borderId="32" xfId="0" applyNumberFormat="1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164" fontId="1" fillId="0" borderId="27" xfId="0" applyNumberFormat="1" applyFont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164" fontId="1" fillId="0" borderId="29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1" fillId="0" borderId="9" xfId="0" applyFont="1" applyBorder="1"/>
    <xf numFmtId="164" fontId="1" fillId="0" borderId="4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0" xfId="0" applyFont="1" applyFill="1" applyBorder="1" applyAlignment="1"/>
    <xf numFmtId="0" fontId="1" fillId="0" borderId="6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164" fontId="1" fillId="0" borderId="15" xfId="0" applyNumberFormat="1" applyFont="1" applyBorder="1" applyAlignment="1">
      <alignment horizontal="center"/>
    </xf>
    <xf numFmtId="0" fontId="1" fillId="3" borderId="35" xfId="0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/>
    <xf numFmtId="0" fontId="1" fillId="0" borderId="9" xfId="0" applyFont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165" fontId="1" fillId="0" borderId="45" xfId="0" applyNumberFormat="1" applyFont="1" applyBorder="1" applyAlignment="1">
      <alignment horizontal="center"/>
    </xf>
    <xf numFmtId="165" fontId="1" fillId="0" borderId="32" xfId="0" applyNumberFormat="1" applyFont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2" fontId="1" fillId="0" borderId="38" xfId="0" applyNumberFormat="1" applyFont="1" applyBorder="1" applyAlignment="1">
      <alignment horizontal="center"/>
    </xf>
    <xf numFmtId="0" fontId="1" fillId="0" borderId="47" xfId="0" applyFont="1" applyFill="1" applyBorder="1" applyAlignment="1">
      <alignment horizontal="center"/>
    </xf>
    <xf numFmtId="2" fontId="1" fillId="0" borderId="48" xfId="0" applyNumberFormat="1" applyFont="1" applyBorder="1" applyAlignment="1">
      <alignment horizontal="center"/>
    </xf>
    <xf numFmtId="2" fontId="1" fillId="0" borderId="29" xfId="0" applyNumberFormat="1" applyFont="1" applyBorder="1" applyAlignment="1">
      <alignment horizontal="center"/>
    </xf>
    <xf numFmtId="2" fontId="1" fillId="0" borderId="37" xfId="0" applyNumberFormat="1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164" fontId="1" fillId="0" borderId="42" xfId="0" applyNumberFormat="1" applyFont="1" applyBorder="1" applyAlignment="1">
      <alignment horizontal="center"/>
    </xf>
    <xf numFmtId="165" fontId="1" fillId="0" borderId="39" xfId="0" applyNumberFormat="1" applyFont="1" applyBorder="1" applyAlignment="1">
      <alignment horizontal="center"/>
    </xf>
    <xf numFmtId="2" fontId="1" fillId="0" borderId="47" xfId="0" applyNumberFormat="1" applyFont="1" applyBorder="1" applyAlignment="1">
      <alignment horizontal="center"/>
    </xf>
    <xf numFmtId="2" fontId="1" fillId="0" borderId="39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2" fontId="1" fillId="0" borderId="40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5" fontId="1" fillId="0" borderId="11" xfId="0" applyNumberFormat="1" applyFont="1" applyBorder="1" applyAlignment="1">
      <alignment horizontal="center"/>
    </xf>
    <xf numFmtId="164" fontId="1" fillId="0" borderId="31" xfId="0" applyNumberFormat="1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164" fontId="1" fillId="0" borderId="49" xfId="0" applyNumberFormat="1" applyFont="1" applyFill="1" applyBorder="1" applyAlignment="1">
      <alignment horizontal="center"/>
    </xf>
    <xf numFmtId="164" fontId="1" fillId="0" borderId="50" xfId="0" applyNumberFormat="1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164" fontId="1" fillId="0" borderId="40" xfId="0" applyNumberFormat="1" applyFont="1" applyBorder="1" applyAlignment="1">
      <alignment horizontal="center"/>
    </xf>
    <xf numFmtId="164" fontId="1" fillId="0" borderId="32" xfId="0" applyNumberFormat="1" applyFont="1" applyBorder="1" applyAlignment="1">
      <alignment horizontal="center"/>
    </xf>
    <xf numFmtId="166" fontId="1" fillId="0" borderId="4" xfId="0" applyNumberFormat="1" applyFont="1" applyBorder="1" applyAlignment="1">
      <alignment horizontal="center"/>
    </xf>
    <xf numFmtId="166" fontId="1" fillId="0" borderId="45" xfId="0" applyNumberFormat="1" applyFont="1" applyBorder="1" applyAlignment="1">
      <alignment horizontal="center"/>
    </xf>
    <xf numFmtId="166" fontId="1" fillId="0" borderId="32" xfId="0" applyNumberFormat="1" applyFont="1" applyBorder="1" applyAlignment="1">
      <alignment horizontal="center"/>
    </xf>
    <xf numFmtId="164" fontId="1" fillId="0" borderId="37" xfId="0" applyNumberFormat="1" applyFont="1" applyBorder="1" applyAlignment="1">
      <alignment horizontal="center"/>
    </xf>
    <xf numFmtId="2" fontId="1" fillId="0" borderId="42" xfId="0" applyNumberFormat="1" applyFont="1" applyBorder="1" applyAlignment="1">
      <alignment horizontal="center"/>
    </xf>
    <xf numFmtId="166" fontId="1" fillId="0" borderId="39" xfId="0" applyNumberFormat="1" applyFont="1" applyBorder="1" applyAlignment="1">
      <alignment horizontal="center"/>
    </xf>
    <xf numFmtId="164" fontId="1" fillId="0" borderId="39" xfId="0" applyNumberFormat="1" applyFont="1" applyBorder="1" applyAlignment="1">
      <alignment horizontal="center"/>
    </xf>
    <xf numFmtId="166" fontId="1" fillId="0" borderId="11" xfId="0" applyNumberFormat="1" applyFont="1" applyBorder="1" applyAlignment="1">
      <alignment horizontal="center"/>
    </xf>
    <xf numFmtId="0" fontId="1" fillId="0" borderId="30" xfId="0" applyFont="1" applyBorder="1"/>
    <xf numFmtId="0" fontId="1" fillId="0" borderId="32" xfId="0" applyFont="1" applyBorder="1"/>
    <xf numFmtId="0" fontId="1" fillId="0" borderId="45" xfId="0" applyFont="1" applyBorder="1"/>
    <xf numFmtId="0" fontId="1" fillId="0" borderId="2" xfId="0" applyFont="1" applyBorder="1" applyAlignment="1">
      <alignment horizontal="center"/>
    </xf>
    <xf numFmtId="2" fontId="1" fillId="0" borderId="45" xfId="0" applyNumberFormat="1" applyFont="1" applyBorder="1" applyAlignment="1">
      <alignment horizontal="center"/>
    </xf>
    <xf numFmtId="0" fontId="1" fillId="0" borderId="15" xfId="0" applyFont="1" applyBorder="1"/>
    <xf numFmtId="0" fontId="1" fillId="0" borderId="21" xfId="0" applyFont="1" applyBorder="1"/>
    <xf numFmtId="164" fontId="1" fillId="3" borderId="12" xfId="0" applyNumberFormat="1" applyFont="1" applyFill="1" applyBorder="1" applyAlignment="1" applyProtection="1">
      <alignment horizontal="center"/>
      <protection locked="0"/>
    </xf>
    <xf numFmtId="164" fontId="1" fillId="0" borderId="2" xfId="0" applyNumberFormat="1" applyFont="1" applyBorder="1" applyAlignment="1">
      <alignment horizontal="center"/>
    </xf>
    <xf numFmtId="0" fontId="1" fillId="0" borderId="56" xfId="0" applyFont="1" applyBorder="1"/>
    <xf numFmtId="2" fontId="1" fillId="0" borderId="6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2" fontId="1" fillId="0" borderId="44" xfId="0" applyNumberFormat="1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Border="1"/>
    <xf numFmtId="0" fontId="5" fillId="0" borderId="2" xfId="0" applyFont="1" applyBorder="1"/>
    <xf numFmtId="0" fontId="5" fillId="0" borderId="9" xfId="0" applyFont="1" applyBorder="1"/>
    <xf numFmtId="0" fontId="1" fillId="0" borderId="51" xfId="0" applyFont="1" applyBorder="1"/>
    <xf numFmtId="0" fontId="1" fillId="0" borderId="3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9" xfId="0" applyFont="1" applyBorder="1" applyAlignment="1"/>
    <xf numFmtId="0" fontId="1" fillId="0" borderId="20" xfId="0" applyFont="1" applyBorder="1" applyAlignment="1"/>
    <xf numFmtId="0" fontId="1" fillId="0" borderId="16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1" fillId="0" borderId="5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7.emf"/><Relationship Id="rId1" Type="http://schemas.openxmlformats.org/officeDocument/2006/relationships/image" Target="../media/image16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8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emf"/><Relationship Id="rId1" Type="http://schemas.openxmlformats.org/officeDocument/2006/relationships/image" Target="../media/image10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emf"/><Relationship Id="rId1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14</xdr:row>
      <xdr:rowOff>28575</xdr:rowOff>
    </xdr:from>
    <xdr:to>
      <xdr:col>5</xdr:col>
      <xdr:colOff>281517</xdr:colOff>
      <xdr:row>19</xdr:row>
      <xdr:rowOff>131233</xdr:rowOff>
    </xdr:to>
    <xdr:pic>
      <xdr:nvPicPr>
        <xdr:cNvPr id="20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3448050"/>
          <a:ext cx="23241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466725</xdr:colOff>
      <xdr:row>25</xdr:row>
      <xdr:rowOff>66675</xdr:rowOff>
    </xdr:from>
    <xdr:to>
      <xdr:col>4</xdr:col>
      <xdr:colOff>477309</xdr:colOff>
      <xdr:row>30</xdr:row>
      <xdr:rowOff>76200</xdr:rowOff>
    </xdr:to>
    <xdr:pic>
      <xdr:nvPicPr>
        <xdr:cNvPr id="206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6275" y="5619750"/>
          <a:ext cx="19621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1162050</xdr:colOff>
      <xdr:row>8</xdr:row>
      <xdr:rowOff>0</xdr:rowOff>
    </xdr:from>
    <xdr:to>
      <xdr:col>2</xdr:col>
      <xdr:colOff>2838450</xdr:colOff>
      <xdr:row>18</xdr:row>
      <xdr:rowOff>28575</xdr:rowOff>
    </xdr:to>
    <xdr:pic>
      <xdr:nvPicPr>
        <xdr:cNvPr id="1128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0" y="1590675"/>
          <a:ext cx="1676400" cy="1990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971550</xdr:colOff>
      <xdr:row>20</xdr:row>
      <xdr:rowOff>114300</xdr:rowOff>
    </xdr:from>
    <xdr:to>
      <xdr:col>2</xdr:col>
      <xdr:colOff>2733675</xdr:colOff>
      <xdr:row>30</xdr:row>
      <xdr:rowOff>95250</xdr:rowOff>
    </xdr:to>
    <xdr:pic>
      <xdr:nvPicPr>
        <xdr:cNvPr id="1128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90750" y="4029075"/>
          <a:ext cx="1762125" cy="1933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19</xdr:row>
      <xdr:rowOff>104775</xdr:rowOff>
    </xdr:from>
    <xdr:to>
      <xdr:col>7</xdr:col>
      <xdr:colOff>628650</xdr:colOff>
      <xdr:row>28</xdr:row>
      <xdr:rowOff>76200</xdr:rowOff>
    </xdr:to>
    <xdr:pic>
      <xdr:nvPicPr>
        <xdr:cNvPr id="103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5775" y="3867150"/>
          <a:ext cx="4610100" cy="1733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18</xdr:row>
      <xdr:rowOff>28575</xdr:rowOff>
    </xdr:from>
    <xdr:to>
      <xdr:col>4</xdr:col>
      <xdr:colOff>561975</xdr:colOff>
      <xdr:row>23</xdr:row>
      <xdr:rowOff>152400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3448050"/>
          <a:ext cx="23241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466725</xdr:colOff>
      <xdr:row>29</xdr:row>
      <xdr:rowOff>66675</xdr:rowOff>
    </xdr:from>
    <xdr:to>
      <xdr:col>4</xdr:col>
      <xdr:colOff>228600</xdr:colOff>
      <xdr:row>34</xdr:row>
      <xdr:rowOff>76200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6275" y="5619750"/>
          <a:ext cx="19621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197671</xdr:colOff>
      <xdr:row>16</xdr:row>
      <xdr:rowOff>79839</xdr:rowOff>
    </xdr:from>
    <xdr:to>
      <xdr:col>5</xdr:col>
      <xdr:colOff>350071</xdr:colOff>
      <xdr:row>24</xdr:row>
      <xdr:rowOff>137952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3317" y="3333322"/>
          <a:ext cx="2217934" cy="16099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81373</xdr:colOff>
      <xdr:row>38</xdr:row>
      <xdr:rowOff>43392</xdr:rowOff>
    </xdr:from>
    <xdr:to>
      <xdr:col>5</xdr:col>
      <xdr:colOff>195673</xdr:colOff>
      <xdr:row>44</xdr:row>
      <xdr:rowOff>24342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77019" y="7577774"/>
          <a:ext cx="2179834" cy="11367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51766</xdr:colOff>
      <xdr:row>13</xdr:row>
      <xdr:rowOff>82827</xdr:rowOff>
    </xdr:from>
    <xdr:to>
      <xdr:col>5</xdr:col>
      <xdr:colOff>449837</xdr:colOff>
      <xdr:row>18</xdr:row>
      <xdr:rowOff>180194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6358" y="2660789"/>
          <a:ext cx="2499783" cy="10498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424484</xdr:colOff>
      <xdr:row>24</xdr:row>
      <xdr:rowOff>20708</xdr:rowOff>
    </xdr:from>
    <xdr:to>
      <xdr:col>5</xdr:col>
      <xdr:colOff>236239</xdr:colOff>
      <xdr:row>29</xdr:row>
      <xdr:rowOff>113886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59076" y="4710735"/>
          <a:ext cx="1913467" cy="10249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11</xdr:row>
      <xdr:rowOff>28575</xdr:rowOff>
    </xdr:from>
    <xdr:to>
      <xdr:col>4</xdr:col>
      <xdr:colOff>590550</xdr:colOff>
      <xdr:row>16</xdr:row>
      <xdr:rowOff>104775</xdr:rowOff>
    </xdr:to>
    <xdr:pic>
      <xdr:nvPicPr>
        <xdr:cNvPr id="309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9100" y="2286000"/>
          <a:ext cx="24860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180975</xdr:colOff>
      <xdr:row>22</xdr:row>
      <xdr:rowOff>9525</xdr:rowOff>
    </xdr:from>
    <xdr:to>
      <xdr:col>3</xdr:col>
      <xdr:colOff>866775</xdr:colOff>
      <xdr:row>28</xdr:row>
      <xdr:rowOff>9525</xdr:rowOff>
    </xdr:to>
    <xdr:pic>
      <xdr:nvPicPr>
        <xdr:cNvPr id="309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71475" y="4419600"/>
          <a:ext cx="19050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75142</xdr:colOff>
      <xdr:row>15</xdr:row>
      <xdr:rowOff>56091</xdr:rowOff>
    </xdr:from>
    <xdr:to>
      <xdr:col>5</xdr:col>
      <xdr:colOff>837142</xdr:colOff>
      <xdr:row>23</xdr:row>
      <xdr:rowOff>121708</xdr:rowOff>
    </xdr:to>
    <xdr:pic>
      <xdr:nvPicPr>
        <xdr:cNvPr id="411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0725" y="3104091"/>
          <a:ext cx="3037417" cy="160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468842</xdr:colOff>
      <xdr:row>36</xdr:row>
      <xdr:rowOff>92075</xdr:rowOff>
    </xdr:from>
    <xdr:to>
      <xdr:col>5</xdr:col>
      <xdr:colOff>897467</xdr:colOff>
      <xdr:row>43</xdr:row>
      <xdr:rowOff>111125</xdr:rowOff>
    </xdr:to>
    <xdr:pic>
      <xdr:nvPicPr>
        <xdr:cNvPr id="411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7182908"/>
          <a:ext cx="2704042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14</xdr:row>
      <xdr:rowOff>133350</xdr:rowOff>
    </xdr:from>
    <xdr:to>
      <xdr:col>5</xdr:col>
      <xdr:colOff>781050</xdr:colOff>
      <xdr:row>22</xdr:row>
      <xdr:rowOff>178858</xdr:rowOff>
    </xdr:to>
    <xdr:pic>
      <xdr:nvPicPr>
        <xdr:cNvPr id="513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1158" y="2990850"/>
          <a:ext cx="2826809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92075</xdr:colOff>
      <xdr:row>36</xdr:row>
      <xdr:rowOff>43391</xdr:rowOff>
    </xdr:from>
    <xdr:to>
      <xdr:col>5</xdr:col>
      <xdr:colOff>444500</xdr:colOff>
      <xdr:row>42</xdr:row>
      <xdr:rowOff>24341</xdr:rowOff>
    </xdr:to>
    <xdr:pic>
      <xdr:nvPicPr>
        <xdr:cNvPr id="514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158" y="7134224"/>
          <a:ext cx="2617259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319616</xdr:colOff>
      <xdr:row>11</xdr:row>
      <xdr:rowOff>98425</xdr:rowOff>
    </xdr:from>
    <xdr:to>
      <xdr:col>5</xdr:col>
      <xdr:colOff>152399</xdr:colOff>
      <xdr:row>17</xdr:row>
      <xdr:rowOff>133852</xdr:rowOff>
    </xdr:to>
    <xdr:pic>
      <xdr:nvPicPr>
        <xdr:cNvPr id="616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7116" y="2320925"/>
          <a:ext cx="2139950" cy="1199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232833</xdr:colOff>
      <xdr:row>24</xdr:row>
      <xdr:rowOff>58208</xdr:rowOff>
    </xdr:from>
    <xdr:to>
      <xdr:col>5</xdr:col>
      <xdr:colOff>179916</xdr:colOff>
      <xdr:row>30</xdr:row>
      <xdr:rowOff>88694</xdr:rowOff>
    </xdr:to>
    <xdr:pic>
      <xdr:nvPicPr>
        <xdr:cNvPr id="616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50333" y="4841875"/>
          <a:ext cx="2254250" cy="11734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24</xdr:row>
      <xdr:rowOff>19050</xdr:rowOff>
    </xdr:from>
    <xdr:to>
      <xdr:col>5</xdr:col>
      <xdr:colOff>95250</xdr:colOff>
      <xdr:row>30</xdr:row>
      <xdr:rowOff>66675</xdr:rowOff>
    </xdr:to>
    <xdr:pic>
      <xdr:nvPicPr>
        <xdr:cNvPr id="718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2125" y="4802717"/>
          <a:ext cx="2090208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302683</xdr:colOff>
      <xdr:row>11</xdr:row>
      <xdr:rowOff>32809</xdr:rowOff>
    </xdr:from>
    <xdr:to>
      <xdr:col>5</xdr:col>
      <xdr:colOff>130175</xdr:colOff>
      <xdr:row>17</xdr:row>
      <xdr:rowOff>75142</xdr:rowOff>
    </xdr:to>
    <xdr:pic>
      <xdr:nvPicPr>
        <xdr:cNvPr id="718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56683" y="2255309"/>
          <a:ext cx="2060575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329142</xdr:colOff>
      <xdr:row>12</xdr:row>
      <xdr:rowOff>25400</xdr:rowOff>
    </xdr:from>
    <xdr:to>
      <xdr:col>4</xdr:col>
      <xdr:colOff>195792</xdr:colOff>
      <xdr:row>17</xdr:row>
      <xdr:rowOff>119591</xdr:rowOff>
    </xdr:to>
    <xdr:pic>
      <xdr:nvPicPr>
        <xdr:cNvPr id="82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7309" y="2491317"/>
          <a:ext cx="2004483" cy="10678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498475</xdr:colOff>
      <xdr:row>23</xdr:row>
      <xdr:rowOff>47625</xdr:rowOff>
    </xdr:from>
    <xdr:to>
      <xdr:col>4</xdr:col>
      <xdr:colOff>7408</xdr:colOff>
      <xdr:row>28</xdr:row>
      <xdr:rowOff>57150</xdr:rowOff>
    </xdr:to>
    <xdr:pic>
      <xdr:nvPicPr>
        <xdr:cNvPr id="82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46642" y="4661958"/>
          <a:ext cx="1646766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126626</xdr:colOff>
      <xdr:row>17</xdr:row>
      <xdr:rowOff>41462</xdr:rowOff>
    </xdr:from>
    <xdr:to>
      <xdr:col>5</xdr:col>
      <xdr:colOff>80121</xdr:colOff>
      <xdr:row>24</xdr:row>
      <xdr:rowOff>154081</xdr:rowOff>
    </xdr:to>
    <xdr:pic>
      <xdr:nvPicPr>
        <xdr:cNvPr id="923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7126" y="3459256"/>
          <a:ext cx="2743760" cy="1468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100853</xdr:colOff>
      <xdr:row>39</xdr:row>
      <xdr:rowOff>91889</xdr:rowOff>
    </xdr:from>
    <xdr:to>
      <xdr:col>5</xdr:col>
      <xdr:colOff>16248</xdr:colOff>
      <xdr:row>47</xdr:row>
      <xdr:rowOff>168089</xdr:rowOff>
    </xdr:to>
    <xdr:pic>
      <xdr:nvPicPr>
        <xdr:cNvPr id="923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60294" y="7767918"/>
          <a:ext cx="2436719" cy="160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131234</xdr:colOff>
      <xdr:row>35</xdr:row>
      <xdr:rowOff>42334</xdr:rowOff>
    </xdr:from>
    <xdr:to>
      <xdr:col>7</xdr:col>
      <xdr:colOff>531284</xdr:colOff>
      <xdr:row>44</xdr:row>
      <xdr:rowOff>51859</xdr:rowOff>
    </xdr:to>
    <xdr:pic>
      <xdr:nvPicPr>
        <xdr:cNvPr id="1025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2567" y="6942667"/>
          <a:ext cx="3321050" cy="1724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270933</xdr:colOff>
      <xdr:row>15</xdr:row>
      <xdr:rowOff>184150</xdr:rowOff>
    </xdr:from>
    <xdr:to>
      <xdr:col>7</xdr:col>
      <xdr:colOff>175683</xdr:colOff>
      <xdr:row>23</xdr:row>
      <xdr:rowOff>59267</xdr:rowOff>
    </xdr:to>
    <xdr:pic>
      <xdr:nvPicPr>
        <xdr:cNvPr id="1026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02266" y="3232150"/>
          <a:ext cx="2825750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71"/>
  <sheetViews>
    <sheetView showGridLines="0" topLeftCell="A4" workbookViewId="0">
      <selection activeCell="F70" sqref="F70"/>
    </sheetView>
  </sheetViews>
  <sheetFormatPr defaultRowHeight="14.4"/>
  <cols>
    <col min="1" max="1" width="3.109375" customWidth="1"/>
    <col min="4" max="4" width="11" customWidth="1"/>
    <col min="5" max="5" width="7.88671875" customWidth="1"/>
    <col min="6" max="6" width="10.88671875" customWidth="1"/>
    <col min="8" max="8" width="11" customWidth="1"/>
    <col min="10" max="10" width="9.44140625" customWidth="1"/>
    <col min="11" max="11" width="11.44140625" customWidth="1"/>
    <col min="12" max="12" width="10.109375" customWidth="1"/>
    <col min="14" max="14" width="9.88671875" customWidth="1"/>
    <col min="15" max="15" width="10.5546875" customWidth="1"/>
    <col min="16" max="16" width="9.5546875" customWidth="1"/>
    <col min="17" max="17" width="2.5546875" customWidth="1"/>
    <col min="18" max="18" width="3.6640625" customWidth="1"/>
    <col min="19" max="19" width="43.88671875" customWidth="1"/>
    <col min="20" max="20" width="2.44140625" customWidth="1"/>
  </cols>
  <sheetData>
    <row r="1" spans="2:20" ht="15" thickBot="1"/>
    <row r="2" spans="2:20" ht="15" thickTop="1"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3" t="s">
        <v>217</v>
      </c>
      <c r="S2" s="14"/>
      <c r="T2" s="9"/>
    </row>
    <row r="3" spans="2:20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27" t="s">
        <v>220</v>
      </c>
      <c r="S3" s="46"/>
      <c r="T3" s="6"/>
    </row>
    <row r="4" spans="2:20"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27" t="s">
        <v>74</v>
      </c>
      <c r="S4" s="46"/>
      <c r="T4" s="6"/>
    </row>
    <row r="5" spans="2:20" ht="18">
      <c r="B5" s="58"/>
      <c r="C5" s="1" t="s">
        <v>239</v>
      </c>
      <c r="D5" s="58"/>
      <c r="E5" s="58"/>
      <c r="F5" s="1" t="s">
        <v>84</v>
      </c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27" t="s">
        <v>201</v>
      </c>
      <c r="S5" s="46"/>
      <c r="T5" s="6"/>
    </row>
    <row r="6" spans="2:20" ht="15" thickBot="1">
      <c r="B6" s="58"/>
      <c r="C6" s="58"/>
      <c r="D6" s="58"/>
      <c r="E6" s="58"/>
      <c r="F6" s="58"/>
      <c r="G6" s="58"/>
      <c r="H6" s="58"/>
      <c r="I6" s="58"/>
      <c r="L6" s="58"/>
      <c r="M6" s="58"/>
      <c r="N6" s="58"/>
      <c r="O6" s="58"/>
      <c r="P6" s="58"/>
      <c r="Q6" s="58"/>
      <c r="R6" s="29" t="s">
        <v>96</v>
      </c>
      <c r="S6" s="46"/>
      <c r="T6" s="6"/>
    </row>
    <row r="7" spans="2:20" ht="15" thickTop="1">
      <c r="B7" s="16" t="s">
        <v>13</v>
      </c>
      <c r="C7" s="14"/>
      <c r="D7" s="14"/>
      <c r="E7" s="120">
        <v>1250</v>
      </c>
      <c r="F7" s="58"/>
      <c r="G7" s="58"/>
      <c r="H7" s="58"/>
      <c r="I7" s="58"/>
      <c r="L7" s="58"/>
      <c r="M7" s="58"/>
      <c r="N7" s="58"/>
      <c r="O7" s="58"/>
      <c r="P7" s="58"/>
      <c r="Q7" s="58"/>
      <c r="R7" s="29" t="s">
        <v>97</v>
      </c>
      <c r="S7" s="46"/>
      <c r="T7" s="6"/>
    </row>
    <row r="8" spans="2:20">
      <c r="B8" s="27"/>
      <c r="C8" s="46"/>
      <c r="D8" s="46"/>
      <c r="E8" s="2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29" t="s">
        <v>102</v>
      </c>
      <c r="S8" s="46"/>
      <c r="T8" s="6"/>
    </row>
    <row r="9" spans="2:20" ht="15" thickBot="1">
      <c r="B9" s="17" t="s">
        <v>14</v>
      </c>
      <c r="C9" s="33"/>
      <c r="D9" s="33"/>
      <c r="E9" s="121">
        <v>70</v>
      </c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29" t="s">
        <v>163</v>
      </c>
      <c r="S9" s="46"/>
      <c r="T9" s="6"/>
    </row>
    <row r="10" spans="2:20" ht="15.6" thickTop="1" thickBot="1">
      <c r="B10" s="46"/>
      <c r="C10" s="46"/>
      <c r="D10" s="46"/>
      <c r="E10" s="122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29" t="s">
        <v>139</v>
      </c>
      <c r="S10" s="46"/>
      <c r="T10" s="6"/>
    </row>
    <row r="11" spans="2:20" ht="15" thickTop="1">
      <c r="B11" s="16"/>
      <c r="C11" s="12" t="s">
        <v>15</v>
      </c>
      <c r="D11" s="13"/>
      <c r="E11" s="14" t="s">
        <v>16</v>
      </c>
      <c r="F11" s="14"/>
      <c r="G11" s="12" t="s">
        <v>17</v>
      </c>
      <c r="H11" s="14"/>
      <c r="I11" s="12" t="s">
        <v>18</v>
      </c>
      <c r="J11" s="14"/>
      <c r="K11" s="12" t="s">
        <v>19</v>
      </c>
      <c r="L11" s="13"/>
      <c r="M11" s="14" t="s">
        <v>20</v>
      </c>
      <c r="N11" s="14"/>
      <c r="O11" s="12" t="s">
        <v>21</v>
      </c>
      <c r="P11" s="108"/>
      <c r="Q11" s="58"/>
      <c r="R11" s="29" t="s">
        <v>176</v>
      </c>
      <c r="S11" s="46"/>
      <c r="T11" s="6"/>
    </row>
    <row r="12" spans="2:20">
      <c r="B12" s="15" t="s">
        <v>0</v>
      </c>
      <c r="C12" s="80" t="s">
        <v>2</v>
      </c>
      <c r="D12" s="81">
        <f>1.0285*F69</f>
        <v>1.8707526739430209</v>
      </c>
      <c r="E12" s="80" t="s">
        <v>2</v>
      </c>
      <c r="F12" s="81">
        <f>0.9277*F69</f>
        <v>1.6874061795011575</v>
      </c>
      <c r="G12" s="80" t="s">
        <v>2</v>
      </c>
      <c r="H12" s="81">
        <f>1.144*F69</f>
        <v>2.0808371988243226</v>
      </c>
      <c r="I12" s="80" t="s">
        <v>2</v>
      </c>
      <c r="J12" s="81">
        <f>1.036*F69</f>
        <v>1.8843945262080406</v>
      </c>
      <c r="K12" s="80" t="s">
        <v>2</v>
      </c>
      <c r="L12" s="81">
        <f>1.178*F69</f>
        <v>2.1426802624257451</v>
      </c>
      <c r="M12" s="80" t="s">
        <v>2</v>
      </c>
      <c r="N12" s="81">
        <f>1.086*F69</f>
        <v>1.9753402079748381</v>
      </c>
      <c r="O12" s="80" t="s">
        <v>2</v>
      </c>
      <c r="P12" s="114">
        <f>1.193*F69</f>
        <v>2.1699639669557844</v>
      </c>
      <c r="Q12" s="58"/>
      <c r="R12" s="29" t="s">
        <v>236</v>
      </c>
      <c r="S12" s="46"/>
      <c r="T12" s="6"/>
    </row>
    <row r="13" spans="2:20">
      <c r="B13" s="15" t="s">
        <v>9</v>
      </c>
      <c r="C13" s="86" t="s">
        <v>3</v>
      </c>
      <c r="D13" s="83">
        <f>1.1468*F70</f>
        <v>3.2592658703175998</v>
      </c>
      <c r="E13" s="86" t="s">
        <v>3</v>
      </c>
      <c r="F13" s="83">
        <f>1.434*F70</f>
        <v>4.0755033641746055</v>
      </c>
      <c r="G13" s="86" t="s">
        <v>3</v>
      </c>
      <c r="H13" s="83">
        <f>1.372*F70</f>
        <v>3.8992961057514361</v>
      </c>
      <c r="I13" s="86" t="s">
        <v>3</v>
      </c>
      <c r="J13" s="83">
        <f>1.516*F70</f>
        <v>4.3085516737020235</v>
      </c>
      <c r="K13" s="86" t="s">
        <v>3</v>
      </c>
      <c r="L13" s="83">
        <f>1.423*F70</f>
        <v>4.0442407860672693</v>
      </c>
      <c r="M13" s="86" t="s">
        <v>3</v>
      </c>
      <c r="N13" s="83">
        <f>1.526*F70</f>
        <v>4.3369721992541477</v>
      </c>
      <c r="O13" s="86" t="s">
        <v>3</v>
      </c>
      <c r="P13" s="87">
        <f>1.443*F70</f>
        <v>4.1010818371715176</v>
      </c>
      <c r="Q13" s="58"/>
      <c r="R13" s="27" t="s">
        <v>223</v>
      </c>
      <c r="S13" s="46"/>
      <c r="T13" s="28"/>
    </row>
    <row r="14" spans="2:20">
      <c r="B14" s="15"/>
      <c r="C14" s="97" t="s">
        <v>4</v>
      </c>
      <c r="D14" s="110">
        <f>1.0285*F69</f>
        <v>1.8707526739430209</v>
      </c>
      <c r="E14" s="86" t="s">
        <v>4</v>
      </c>
      <c r="F14" s="88">
        <f>1.434*F69</f>
        <v>2.6083221530717471</v>
      </c>
      <c r="G14" s="86" t="s">
        <v>4</v>
      </c>
      <c r="H14" s="88">
        <f>1.972*F69</f>
        <v>3.5868976888824866</v>
      </c>
      <c r="I14" s="86" t="s">
        <v>4</v>
      </c>
      <c r="J14" s="88">
        <f>1.788*F69</f>
        <v>3.2522175799806723</v>
      </c>
      <c r="K14" s="86" t="s">
        <v>4</v>
      </c>
      <c r="L14" s="88">
        <f>2.094*F69</f>
        <v>3.8088051523934716</v>
      </c>
      <c r="M14" s="86" t="s">
        <v>4</v>
      </c>
      <c r="N14" s="88">
        <f>1.902*F69</f>
        <v>3.4595737344089703</v>
      </c>
      <c r="O14" s="86" t="s">
        <v>4</v>
      </c>
      <c r="P14" s="92">
        <f>2.132*F69</f>
        <v>3.8779238705362382</v>
      </c>
      <c r="Q14" s="58"/>
      <c r="R14" s="27" t="s">
        <v>221</v>
      </c>
      <c r="S14" s="46"/>
      <c r="T14" s="28"/>
    </row>
    <row r="15" spans="2:20" ht="15" thickBot="1">
      <c r="B15" s="27"/>
      <c r="C15" s="48"/>
      <c r="D15" s="48"/>
      <c r="E15" s="97" t="s">
        <v>7</v>
      </c>
      <c r="F15" s="98">
        <f>0.9277*F70</f>
        <v>2.6365721554705588</v>
      </c>
      <c r="G15" s="86" t="s">
        <v>7</v>
      </c>
      <c r="H15" s="83">
        <f>1.372*F70</f>
        <v>3.8992961057514361</v>
      </c>
      <c r="I15" s="86" t="s">
        <v>7</v>
      </c>
      <c r="J15" s="83">
        <f>1.788*F70</f>
        <v>5.0815899687198014</v>
      </c>
      <c r="K15" s="86" t="s">
        <v>7</v>
      </c>
      <c r="L15" s="83">
        <f>1.574*F70</f>
        <v>4.4733907219043445</v>
      </c>
      <c r="M15" s="86" t="s">
        <v>7</v>
      </c>
      <c r="N15" s="83">
        <f>1.83*F70</f>
        <v>5.2009561760387228</v>
      </c>
      <c r="O15" s="86" t="s">
        <v>7</v>
      </c>
      <c r="P15" s="87">
        <f>1.618*F70</f>
        <v>4.5984410343336908</v>
      </c>
      <c r="Q15" s="58"/>
      <c r="R15" s="17" t="s">
        <v>222</v>
      </c>
      <c r="S15" s="33"/>
      <c r="T15" s="30"/>
    </row>
    <row r="16" spans="2:20" ht="15" thickTop="1">
      <c r="B16" s="27"/>
      <c r="C16" s="48"/>
      <c r="D16" s="48"/>
      <c r="E16" s="48"/>
      <c r="F16" s="48"/>
      <c r="G16" s="97" t="s">
        <v>8</v>
      </c>
      <c r="H16" s="110">
        <f>1.144*F69</f>
        <v>2.0808371988243226</v>
      </c>
      <c r="I16" s="86" t="s">
        <v>8</v>
      </c>
      <c r="J16" s="88">
        <f>1.516*F69</f>
        <v>2.757473071169295</v>
      </c>
      <c r="K16" s="86" t="s">
        <v>8</v>
      </c>
      <c r="L16" s="88">
        <f>2.094*F69</f>
        <v>3.8088051523934716</v>
      </c>
      <c r="M16" s="86" t="s">
        <v>8</v>
      </c>
      <c r="N16" s="88">
        <f>1.83*F69</f>
        <v>3.3286119526647822</v>
      </c>
      <c r="O16" s="86" t="s">
        <v>8</v>
      </c>
      <c r="P16" s="92">
        <f>2.203*F69</f>
        <v>4.00706673864509</v>
      </c>
      <c r="Q16" s="58"/>
      <c r="R16" s="58"/>
      <c r="S16" s="58"/>
    </row>
    <row r="17" spans="2:19">
      <c r="B17" s="27"/>
      <c r="C17" s="48"/>
      <c r="D17" s="48"/>
      <c r="E17" s="48"/>
      <c r="F17" s="48"/>
      <c r="G17" s="48"/>
      <c r="H17" s="48"/>
      <c r="I17" s="97" t="s">
        <v>10</v>
      </c>
      <c r="J17" s="98">
        <f>1.036*F70</f>
        <v>2.9443664472000637</v>
      </c>
      <c r="K17" s="86" t="s">
        <v>10</v>
      </c>
      <c r="L17" s="83">
        <f>1.423*F70</f>
        <v>4.0442407860672693</v>
      </c>
      <c r="M17" s="86" t="s">
        <v>10</v>
      </c>
      <c r="N17" s="83">
        <f>1.902*F70</f>
        <v>5.4055839600140168</v>
      </c>
      <c r="O17" s="86" t="s">
        <v>10</v>
      </c>
      <c r="P17" s="87">
        <f>1.618*F70</f>
        <v>4.5984410343336908</v>
      </c>
      <c r="Q17" s="58"/>
      <c r="R17" s="58"/>
      <c r="S17" s="58"/>
    </row>
    <row r="18" spans="2:19">
      <c r="B18" s="27"/>
      <c r="C18" s="48"/>
      <c r="D18" s="48"/>
      <c r="E18" s="48"/>
      <c r="F18" s="48"/>
      <c r="G18" s="48"/>
      <c r="H18" s="48"/>
      <c r="I18" s="48"/>
      <c r="J18" s="48"/>
      <c r="K18" s="97" t="s">
        <v>11</v>
      </c>
      <c r="L18" s="110">
        <f>1.178*F69</f>
        <v>2.1426802624257451</v>
      </c>
      <c r="M18" s="86" t="s">
        <v>11</v>
      </c>
      <c r="N18" s="88">
        <f>1.526*F69</f>
        <v>2.7756622075226542</v>
      </c>
      <c r="O18" s="86" t="s">
        <v>11</v>
      </c>
      <c r="P18" s="92">
        <f>2.132*F69</f>
        <v>3.8779238705362382</v>
      </c>
      <c r="Q18" s="58"/>
      <c r="R18" s="58"/>
      <c r="S18" s="58"/>
    </row>
    <row r="19" spans="2:19">
      <c r="B19" s="27"/>
      <c r="C19" s="48"/>
      <c r="D19" s="48"/>
      <c r="E19" s="48"/>
      <c r="F19" s="58"/>
      <c r="G19" s="39"/>
      <c r="H19" s="39" t="s">
        <v>83</v>
      </c>
      <c r="I19" s="48"/>
      <c r="J19" s="48"/>
      <c r="K19" s="48"/>
      <c r="L19" s="48"/>
      <c r="M19" s="97" t="s">
        <v>12</v>
      </c>
      <c r="N19" s="98">
        <f>1.086*F70</f>
        <v>3.0864690749606849</v>
      </c>
      <c r="O19" s="86" t="s">
        <v>12</v>
      </c>
      <c r="P19" s="87">
        <f>1.443*F70</f>
        <v>4.1010818371715176</v>
      </c>
      <c r="Q19" s="58"/>
      <c r="R19" s="58"/>
      <c r="S19" s="58"/>
    </row>
    <row r="20" spans="2:19" ht="15" thickBot="1">
      <c r="B20" s="17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3"/>
      <c r="O20" s="100" t="s">
        <v>38</v>
      </c>
      <c r="P20" s="117">
        <f>1.193*F69</f>
        <v>2.1699639669557844</v>
      </c>
      <c r="Q20" s="58"/>
      <c r="R20" s="58"/>
      <c r="S20" s="58"/>
    </row>
    <row r="21" spans="2:19" ht="15.6" thickTop="1" thickBot="1"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58"/>
      <c r="R21" s="58"/>
      <c r="S21" s="58"/>
    </row>
    <row r="22" spans="2:19" ht="15" thickTop="1">
      <c r="B22" s="16"/>
      <c r="C22" s="12" t="s">
        <v>31</v>
      </c>
      <c r="D22" s="14"/>
      <c r="E22" s="12" t="s">
        <v>32</v>
      </c>
      <c r="F22" s="14"/>
      <c r="G22" s="12" t="s">
        <v>33</v>
      </c>
      <c r="H22" s="13"/>
      <c r="I22" s="14" t="s">
        <v>34</v>
      </c>
      <c r="J22" s="14"/>
      <c r="K22" s="12" t="s">
        <v>35</v>
      </c>
      <c r="L22" s="13"/>
      <c r="M22" s="19" t="s">
        <v>36</v>
      </c>
      <c r="N22" s="13"/>
      <c r="O22" s="18" t="s">
        <v>37</v>
      </c>
      <c r="P22" s="108"/>
      <c r="Q22" s="58"/>
      <c r="R22" s="58"/>
      <c r="S22" s="58"/>
    </row>
    <row r="23" spans="2:19">
      <c r="B23" s="15" t="s">
        <v>1</v>
      </c>
      <c r="C23" s="80" t="s">
        <v>22</v>
      </c>
      <c r="D23" s="106">
        <f>1.0285*F70</f>
        <v>2.9230510530359703</v>
      </c>
      <c r="E23" s="80" t="s">
        <v>22</v>
      </c>
      <c r="F23" s="106">
        <f>0.9277*F70</f>
        <v>2.6365721554705588</v>
      </c>
      <c r="G23" s="80" t="s">
        <v>22</v>
      </c>
      <c r="H23" s="106">
        <f>1.144*F70</f>
        <v>3.2513081231630045</v>
      </c>
      <c r="I23" s="80" t="s">
        <v>22</v>
      </c>
      <c r="J23" s="106">
        <f>1.036*F70</f>
        <v>2.9443664472000637</v>
      </c>
      <c r="K23" s="80" t="s">
        <v>22</v>
      </c>
      <c r="L23" s="123">
        <f>1.178*F70</f>
        <v>3.3479379100402267</v>
      </c>
      <c r="M23" s="80" t="s">
        <v>22</v>
      </c>
      <c r="N23" s="123">
        <f>1.086*F70</f>
        <v>3.0864690749606849</v>
      </c>
      <c r="O23" s="50" t="s">
        <v>22</v>
      </c>
      <c r="P23" s="109">
        <f>1.193*F70</f>
        <v>3.3905686983684133</v>
      </c>
      <c r="Q23" s="58"/>
      <c r="R23" s="58"/>
      <c r="S23" s="58"/>
    </row>
    <row r="24" spans="2:19">
      <c r="B24" s="15"/>
      <c r="C24" s="86" t="s">
        <v>23</v>
      </c>
      <c r="D24" s="90">
        <f>1.1468*F69</f>
        <v>2.0859301570032636</v>
      </c>
      <c r="E24" s="86" t="s">
        <v>23</v>
      </c>
      <c r="F24" s="90">
        <f>1.434*F69</f>
        <v>2.6083221530717471</v>
      </c>
      <c r="G24" s="86" t="s">
        <v>23</v>
      </c>
      <c r="H24" s="90">
        <f>1.372*F69</f>
        <v>2.4955495076809187</v>
      </c>
      <c r="I24" s="86" t="s">
        <v>23</v>
      </c>
      <c r="J24" s="90">
        <f>1.516*F69</f>
        <v>2.757473071169295</v>
      </c>
      <c r="K24" s="86" t="s">
        <v>23</v>
      </c>
      <c r="L24" s="88">
        <f>1.423*F69</f>
        <v>2.5883141030830519</v>
      </c>
      <c r="M24" s="86" t="s">
        <v>23</v>
      </c>
      <c r="N24" s="88">
        <f>1.526*F69</f>
        <v>2.7756622075226542</v>
      </c>
      <c r="O24" s="91" t="s">
        <v>23</v>
      </c>
      <c r="P24" s="92">
        <f>1.443*F69</f>
        <v>2.6246923757897709</v>
      </c>
      <c r="Q24" s="58"/>
      <c r="R24" s="58"/>
      <c r="S24" s="58"/>
    </row>
    <row r="25" spans="2:19">
      <c r="B25" s="27"/>
      <c r="C25" s="97" t="s">
        <v>24</v>
      </c>
      <c r="D25" s="98">
        <f>1.0285*F70</f>
        <v>2.9230510530359703</v>
      </c>
      <c r="E25" s="91" t="s">
        <v>24</v>
      </c>
      <c r="F25" s="85">
        <f>1.434*F70</f>
        <v>4.0755033641746055</v>
      </c>
      <c r="G25" s="91" t="s">
        <v>24</v>
      </c>
      <c r="H25" s="85">
        <f>1.972*F70</f>
        <v>5.6045276388788858</v>
      </c>
      <c r="I25" s="86" t="s">
        <v>24</v>
      </c>
      <c r="J25" s="85">
        <f>1.788*F70</f>
        <v>5.0815899687198014</v>
      </c>
      <c r="K25" s="86" t="s">
        <v>24</v>
      </c>
      <c r="L25" s="83">
        <f>2.094*F70</f>
        <v>5.9512580506148005</v>
      </c>
      <c r="M25" s="86" t="s">
        <v>24</v>
      </c>
      <c r="N25" s="83">
        <f>1.902*F70</f>
        <v>5.4055839600140168</v>
      </c>
      <c r="O25" s="91" t="s">
        <v>24</v>
      </c>
      <c r="P25" s="87">
        <f>2.132*F70</f>
        <v>6.0592560477128732</v>
      </c>
      <c r="Q25" s="58"/>
      <c r="R25" s="58"/>
      <c r="S25" s="58"/>
    </row>
    <row r="26" spans="2:19">
      <c r="B26" s="27"/>
      <c r="C26" s="48"/>
      <c r="D26" s="48"/>
      <c r="E26" s="99" t="s">
        <v>25</v>
      </c>
      <c r="F26" s="110">
        <f>0.9277*F69</f>
        <v>1.6874061795011575</v>
      </c>
      <c r="G26" s="91" t="s">
        <v>25</v>
      </c>
      <c r="H26" s="90">
        <f>1.372*F69</f>
        <v>2.4955495076809187</v>
      </c>
      <c r="I26" s="86" t="s">
        <v>25</v>
      </c>
      <c r="J26" s="90">
        <f>1.788*F69</f>
        <v>3.2522175799806723</v>
      </c>
      <c r="K26" s="86" t="s">
        <v>25</v>
      </c>
      <c r="L26" s="88">
        <f>1.574*F69</f>
        <v>2.8629700620187801</v>
      </c>
      <c r="M26" s="86" t="s">
        <v>25</v>
      </c>
      <c r="N26" s="88">
        <f>1.83*F69</f>
        <v>3.3286119526647822</v>
      </c>
      <c r="O26" s="91" t="s">
        <v>25</v>
      </c>
      <c r="P26" s="92">
        <f>1.618*F69</f>
        <v>2.9430022619735619</v>
      </c>
      <c r="Q26" s="58"/>
      <c r="R26" s="58"/>
      <c r="S26" s="58"/>
    </row>
    <row r="27" spans="2:19">
      <c r="B27" s="27"/>
      <c r="C27" s="48"/>
      <c r="D27" s="48"/>
      <c r="E27" s="48"/>
      <c r="F27" s="48"/>
      <c r="G27" s="99" t="s">
        <v>26</v>
      </c>
      <c r="H27" s="98">
        <f>1.144*F70</f>
        <v>3.2513081231630045</v>
      </c>
      <c r="I27" s="86" t="s">
        <v>26</v>
      </c>
      <c r="J27" s="85">
        <f>1.516*F70</f>
        <v>4.3085516737020235</v>
      </c>
      <c r="K27" s="86" t="s">
        <v>26</v>
      </c>
      <c r="L27" s="83">
        <f>2.094*F70</f>
        <v>5.9512580506148005</v>
      </c>
      <c r="M27" s="86" t="s">
        <v>26</v>
      </c>
      <c r="N27" s="83">
        <f>1.83*F70</f>
        <v>5.2009561760387228</v>
      </c>
      <c r="O27" s="91" t="s">
        <v>26</v>
      </c>
      <c r="P27" s="87">
        <f>2.203*F70</f>
        <v>6.2610417791329533</v>
      </c>
      <c r="Q27" s="58"/>
      <c r="R27" s="58"/>
      <c r="S27" s="58"/>
    </row>
    <row r="28" spans="2:19">
      <c r="B28" s="27"/>
      <c r="C28" s="48"/>
      <c r="D28" s="48"/>
      <c r="E28" s="48"/>
      <c r="F28" s="48"/>
      <c r="G28" s="48"/>
      <c r="H28" s="48"/>
      <c r="I28" s="97" t="s">
        <v>27</v>
      </c>
      <c r="J28" s="110">
        <f>1.036*F69</f>
        <v>1.8843945262080406</v>
      </c>
      <c r="K28" s="86" t="s">
        <v>27</v>
      </c>
      <c r="L28" s="88">
        <f>1.423*F69</f>
        <v>2.5883141030830519</v>
      </c>
      <c r="M28" s="86" t="s">
        <v>27</v>
      </c>
      <c r="N28" s="88">
        <f>1.902*F69</f>
        <v>3.4595737344089703</v>
      </c>
      <c r="O28" s="91" t="s">
        <v>27</v>
      </c>
      <c r="P28" s="92">
        <f>1.618*F69</f>
        <v>2.9430022619735619</v>
      </c>
      <c r="Q28" s="58"/>
      <c r="R28" s="58"/>
      <c r="S28" s="58"/>
    </row>
    <row r="29" spans="2:19">
      <c r="B29" s="27"/>
      <c r="C29" s="48"/>
      <c r="D29" s="48"/>
      <c r="E29" s="48"/>
      <c r="F29" s="48"/>
      <c r="G29" s="48"/>
      <c r="H29" s="48"/>
      <c r="I29" s="48"/>
      <c r="J29" s="48"/>
      <c r="K29" s="97" t="s">
        <v>28</v>
      </c>
      <c r="L29" s="105">
        <f>1.178*F70</f>
        <v>3.3479379100402267</v>
      </c>
      <c r="M29" s="86" t="s">
        <v>28</v>
      </c>
      <c r="N29" s="83">
        <f>1.526*F70</f>
        <v>4.3369721992541477</v>
      </c>
      <c r="O29" s="91" t="s">
        <v>28</v>
      </c>
      <c r="P29" s="87">
        <f>2.132*F70</f>
        <v>6.0592560477128732</v>
      </c>
      <c r="Q29" s="58"/>
      <c r="R29" s="58"/>
      <c r="S29" s="58"/>
    </row>
    <row r="30" spans="2:19">
      <c r="B30" s="27"/>
      <c r="C30" s="48"/>
      <c r="D30" s="48"/>
      <c r="E30" s="48"/>
      <c r="F30" s="48"/>
      <c r="G30" s="58"/>
      <c r="H30" s="39" t="s">
        <v>44</v>
      </c>
      <c r="I30" s="48"/>
      <c r="J30" s="48"/>
      <c r="K30" s="48"/>
      <c r="L30" s="48"/>
      <c r="M30" s="97" t="s">
        <v>29</v>
      </c>
      <c r="N30" s="115">
        <f>1.086*F69</f>
        <v>1.9753402079748381</v>
      </c>
      <c r="O30" s="91" t="s">
        <v>29</v>
      </c>
      <c r="P30" s="92">
        <f>1.443*F69</f>
        <v>2.6246923757897709</v>
      </c>
      <c r="Q30" s="58"/>
      <c r="R30" s="58"/>
      <c r="S30" s="58"/>
    </row>
    <row r="31" spans="2:19" ht="15" thickBot="1">
      <c r="B31" s="17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6" t="s">
        <v>30</v>
      </c>
      <c r="P31" s="101">
        <f>1.193*F70</f>
        <v>3.3905686983684133</v>
      </c>
      <c r="Q31" s="58"/>
      <c r="R31" s="58"/>
      <c r="S31" s="58"/>
    </row>
    <row r="32" spans="2:19" ht="15" thickTop="1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</row>
    <row r="33" spans="2:19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</row>
    <row r="34" spans="2:19"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</row>
    <row r="35" spans="2:19"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</row>
    <row r="36" spans="2:19"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</row>
    <row r="37" spans="2:19"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</row>
    <row r="38" spans="2:19"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</row>
    <row r="39" spans="2:19"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</row>
    <row r="40" spans="2:19"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</row>
    <row r="41" spans="2:19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</row>
    <row r="42" spans="2:19"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</row>
    <row r="43" spans="2:19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</row>
    <row r="44" spans="2:19"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</row>
    <row r="45" spans="2:19"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</row>
    <row r="46" spans="2:19"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</row>
    <row r="47" spans="2:19"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</row>
    <row r="48" spans="2:19"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</row>
    <row r="49" spans="2:19"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</row>
    <row r="50" spans="2:19"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</row>
    <row r="51" spans="2:19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</row>
    <row r="52" spans="2:19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</row>
    <row r="53" spans="2:19"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</row>
    <row r="54" spans="2:19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</row>
    <row r="55" spans="2:19"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</row>
    <row r="56" spans="2:19"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</row>
    <row r="57" spans="2:19"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</row>
    <row r="58" spans="2:19"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</row>
    <row r="59" spans="2:19"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</row>
    <row r="60" spans="2:19"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</row>
    <row r="61" spans="2:19"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</row>
    <row r="68" spans="5:6" ht="15" thickBot="1"/>
    <row r="69" spans="5:6" ht="15" thickTop="1">
      <c r="E69" s="118" t="s">
        <v>5</v>
      </c>
      <c r="F69" s="119">
        <f>(1000000000000/(2*PI()*E7*E9*1000000))</f>
        <v>1.8189136353359465</v>
      </c>
    </row>
    <row r="70" spans="5:6" ht="15" thickBot="1">
      <c r="E70" s="72" t="s">
        <v>6</v>
      </c>
      <c r="F70" s="73">
        <f>(E7*1000000/(2*PI()*E9*1000000))*1</f>
        <v>2.8420525552124167</v>
      </c>
    </row>
    <row r="71" spans="5:6" ht="15" thickTop="1"/>
  </sheetData>
  <sheetProtection sheet="1" objects="1" scenarios="1"/>
  <pageMargins left="0.7" right="0.7" top="0.75" bottom="0.75" header="0.3" footer="0.3"/>
  <pageSetup orientation="portrait" horizontalDpi="4294967293" verticalDpi="0" r:id="rId1"/>
  <drawing r:id="rId2"/>
  <picture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B2:K62"/>
  <sheetViews>
    <sheetView showGridLines="0" workbookViewId="0">
      <selection activeCell="M25" sqref="M25"/>
    </sheetView>
  </sheetViews>
  <sheetFormatPr defaultRowHeight="14.4"/>
  <cols>
    <col min="3" max="3" width="47.44140625" customWidth="1"/>
    <col min="4" max="4" width="12.88671875" customWidth="1"/>
    <col min="5" max="5" width="20.88671875" bestFit="1" customWidth="1"/>
    <col min="11" max="11" width="27.5546875" customWidth="1"/>
  </cols>
  <sheetData>
    <row r="2" spans="2:11" ht="16.2" thickBot="1">
      <c r="B2" s="58"/>
      <c r="C2" s="56" t="s">
        <v>178</v>
      </c>
      <c r="D2" s="58"/>
      <c r="E2" s="58"/>
      <c r="F2" s="58"/>
      <c r="G2" s="58"/>
      <c r="H2" s="58"/>
      <c r="I2" s="58"/>
      <c r="J2" s="58"/>
      <c r="K2" s="58"/>
    </row>
    <row r="3" spans="2:11" ht="15.6" thickTop="1" thickBot="1">
      <c r="B3" s="58"/>
      <c r="C3" s="58"/>
      <c r="D3" s="58"/>
      <c r="E3" s="58"/>
      <c r="F3" s="58"/>
      <c r="G3" s="58"/>
      <c r="H3" s="58"/>
      <c r="I3" s="58"/>
      <c r="J3" s="16" t="s">
        <v>211</v>
      </c>
      <c r="K3" s="108"/>
    </row>
    <row r="4" spans="2:11" ht="15" thickTop="1">
      <c r="B4" s="58"/>
      <c r="C4" s="16" t="s">
        <v>175</v>
      </c>
      <c r="D4" s="71">
        <v>200</v>
      </c>
      <c r="E4" s="58"/>
      <c r="F4" s="58"/>
      <c r="G4" s="58"/>
      <c r="H4" s="58"/>
      <c r="I4" s="58"/>
      <c r="J4" s="27" t="s">
        <v>220</v>
      </c>
      <c r="K4" s="28"/>
    </row>
    <row r="5" spans="2:11">
      <c r="B5" s="58"/>
      <c r="C5" s="31" t="s">
        <v>179</v>
      </c>
      <c r="D5" s="74">
        <v>4</v>
      </c>
      <c r="E5" s="58"/>
      <c r="F5" s="58"/>
      <c r="G5" s="58"/>
      <c r="H5" s="58"/>
      <c r="I5" s="58"/>
      <c r="J5" s="27" t="s">
        <v>74</v>
      </c>
      <c r="K5" s="28"/>
    </row>
    <row r="6" spans="2:11" ht="15" thickBot="1">
      <c r="B6" s="58"/>
      <c r="C6" s="17" t="s">
        <v>180</v>
      </c>
      <c r="D6" s="75">
        <v>24</v>
      </c>
      <c r="E6" s="58"/>
      <c r="F6" s="58"/>
      <c r="G6" s="58"/>
      <c r="H6" s="58"/>
      <c r="I6" s="58"/>
      <c r="J6" s="27" t="s">
        <v>212</v>
      </c>
      <c r="K6" s="28"/>
    </row>
    <row r="7" spans="2:11" ht="15.6" thickTop="1" thickBot="1">
      <c r="B7" s="58"/>
      <c r="C7" s="58"/>
      <c r="D7" s="122"/>
      <c r="E7" s="58"/>
      <c r="F7" s="58"/>
      <c r="G7" s="58"/>
      <c r="H7" s="58"/>
      <c r="I7" s="58"/>
      <c r="J7" s="29" t="s">
        <v>96</v>
      </c>
      <c r="K7" s="28"/>
    </row>
    <row r="8" spans="2:11" ht="15" thickTop="1">
      <c r="B8" s="58"/>
      <c r="C8" s="16"/>
      <c r="D8" s="14"/>
      <c r="E8" s="14"/>
      <c r="F8" s="108"/>
      <c r="G8" s="58"/>
      <c r="H8" s="58"/>
      <c r="I8" s="58"/>
      <c r="J8" s="29" t="s">
        <v>97</v>
      </c>
      <c r="K8" s="28"/>
    </row>
    <row r="9" spans="2:11" ht="15" thickBot="1">
      <c r="B9" s="58"/>
      <c r="C9" s="27"/>
      <c r="D9" s="46"/>
      <c r="E9" s="46"/>
      <c r="F9" s="28"/>
      <c r="G9" s="58"/>
      <c r="H9" s="58"/>
      <c r="I9" s="58"/>
      <c r="J9" s="29" t="s">
        <v>102</v>
      </c>
      <c r="K9" s="28"/>
    </row>
    <row r="10" spans="2:11" ht="15" thickTop="1">
      <c r="B10" s="58"/>
      <c r="C10" s="27"/>
      <c r="D10" s="118" t="s">
        <v>22</v>
      </c>
      <c r="E10" s="170">
        <f>2000000*D4*E59/E60</f>
        <v>0.86029698968592072</v>
      </c>
      <c r="F10" s="171"/>
      <c r="G10" s="58"/>
      <c r="H10" s="58"/>
      <c r="I10" s="58"/>
      <c r="J10" s="29" t="s">
        <v>163</v>
      </c>
      <c r="K10" s="28"/>
    </row>
    <row r="11" spans="2:11">
      <c r="B11" s="58"/>
      <c r="C11" s="27"/>
      <c r="D11" s="82" t="s">
        <v>3</v>
      </c>
      <c r="E11" s="85">
        <f>(D4*1000000)/(2*E59)</f>
        <v>1.9894367886486919</v>
      </c>
      <c r="F11" s="171"/>
      <c r="G11" s="58"/>
      <c r="H11" s="58"/>
      <c r="I11" s="58"/>
      <c r="J11" s="57" t="s">
        <v>139</v>
      </c>
      <c r="K11" s="28"/>
    </row>
    <row r="12" spans="2:11">
      <c r="B12" s="58"/>
      <c r="C12" s="27"/>
      <c r="D12" s="82" t="s">
        <v>2</v>
      </c>
      <c r="E12" s="90">
        <f>1000000000000/(D4*E59)</f>
        <v>99.471839432434592</v>
      </c>
      <c r="F12" s="171"/>
      <c r="G12" s="58"/>
      <c r="H12" s="58"/>
      <c r="I12" s="58"/>
      <c r="J12" s="54" t="s">
        <v>177</v>
      </c>
      <c r="K12" s="28"/>
    </row>
    <row r="13" spans="2:11" ht="15" thickBot="1">
      <c r="B13" s="58"/>
      <c r="C13" s="27"/>
      <c r="D13" s="144" t="s">
        <v>23</v>
      </c>
      <c r="E13" s="172">
        <f>2000000000000*E59/(D4*(E60-E59^2))</f>
        <v>24.114385316953836</v>
      </c>
      <c r="F13" s="171"/>
      <c r="G13" s="58"/>
      <c r="H13" s="58"/>
      <c r="I13" s="58"/>
      <c r="J13" s="27" t="s">
        <v>191</v>
      </c>
      <c r="K13" s="28"/>
    </row>
    <row r="14" spans="2:11" ht="15" thickTop="1">
      <c r="B14" s="58"/>
      <c r="C14" s="27"/>
      <c r="D14" s="46"/>
      <c r="E14" s="46"/>
      <c r="F14" s="28"/>
      <c r="G14" s="58"/>
      <c r="H14" s="58"/>
      <c r="I14" s="58"/>
      <c r="J14" s="27" t="s">
        <v>207</v>
      </c>
      <c r="K14" s="28"/>
    </row>
    <row r="15" spans="2:11">
      <c r="B15" s="58"/>
      <c r="C15" s="27"/>
      <c r="D15" s="46"/>
      <c r="E15" s="46"/>
      <c r="F15" s="28"/>
      <c r="G15" s="58"/>
      <c r="H15" s="58"/>
      <c r="I15" s="58"/>
      <c r="J15" s="27" t="s">
        <v>205</v>
      </c>
      <c r="K15" s="28"/>
    </row>
    <row r="16" spans="2:11" ht="15" thickBot="1">
      <c r="B16" s="58"/>
      <c r="C16" s="27"/>
      <c r="D16" s="46"/>
      <c r="E16" s="46"/>
      <c r="F16" s="28"/>
      <c r="G16" s="58"/>
      <c r="H16" s="58"/>
      <c r="I16" s="58"/>
      <c r="J16" s="17" t="s">
        <v>225</v>
      </c>
      <c r="K16" s="30"/>
    </row>
    <row r="17" spans="2:11" ht="15" thickTop="1">
      <c r="B17" s="58"/>
      <c r="C17" s="27"/>
      <c r="D17" s="46"/>
      <c r="E17" s="46"/>
      <c r="F17" s="28"/>
      <c r="G17" s="58"/>
      <c r="H17" s="58"/>
      <c r="I17" s="58"/>
      <c r="J17" s="58"/>
      <c r="K17" s="58"/>
    </row>
    <row r="18" spans="2:11">
      <c r="B18" s="58"/>
      <c r="C18" s="27"/>
      <c r="D18" s="46"/>
      <c r="E18" s="46"/>
      <c r="F18" s="28"/>
      <c r="G18" s="58"/>
      <c r="H18" s="58"/>
      <c r="I18" s="58"/>
      <c r="J18" s="58"/>
      <c r="K18" s="58"/>
    </row>
    <row r="19" spans="2:11" ht="15" thickBot="1">
      <c r="B19" s="58"/>
      <c r="C19" s="17"/>
      <c r="D19" s="33"/>
      <c r="E19" s="33"/>
      <c r="F19" s="30"/>
      <c r="G19" s="58"/>
      <c r="H19" s="58"/>
      <c r="I19" s="58"/>
      <c r="J19" s="58"/>
      <c r="K19" s="58"/>
    </row>
    <row r="20" spans="2:11" ht="15.6" thickTop="1" thickBot="1">
      <c r="B20" s="58"/>
      <c r="C20" s="58"/>
      <c r="D20" s="58"/>
      <c r="E20" s="58"/>
      <c r="F20" s="58"/>
      <c r="G20" s="58"/>
      <c r="H20" s="58"/>
      <c r="I20" s="58"/>
      <c r="J20" s="58"/>
      <c r="K20" s="58"/>
    </row>
    <row r="21" spans="2:11" ht="15" thickTop="1">
      <c r="B21" s="58"/>
      <c r="C21" s="16"/>
      <c r="D21" s="14"/>
      <c r="E21" s="14"/>
      <c r="F21" s="108"/>
      <c r="G21" s="58"/>
      <c r="H21" s="58"/>
      <c r="I21" s="58"/>
      <c r="J21" s="58"/>
      <c r="K21" s="58"/>
    </row>
    <row r="22" spans="2:11" ht="15" thickBot="1">
      <c r="B22" s="58"/>
      <c r="C22" s="27"/>
      <c r="D22" s="46"/>
      <c r="E22" s="46"/>
      <c r="F22" s="28"/>
      <c r="G22" s="58"/>
      <c r="H22" s="58"/>
      <c r="I22" s="58"/>
      <c r="J22" s="58"/>
      <c r="K22" s="58"/>
    </row>
    <row r="23" spans="2:11" ht="15" thickTop="1">
      <c r="B23" s="58"/>
      <c r="C23" s="27"/>
      <c r="D23" s="118" t="s">
        <v>22</v>
      </c>
      <c r="E23" s="173">
        <f>E10</f>
        <v>0.86029698968592072</v>
      </c>
      <c r="F23" s="28"/>
      <c r="G23" s="58"/>
      <c r="H23" s="58"/>
      <c r="I23" s="58"/>
      <c r="J23" s="58"/>
      <c r="K23" s="58"/>
    </row>
    <row r="24" spans="2:11">
      <c r="B24" s="58"/>
      <c r="C24" s="27"/>
      <c r="D24" s="82" t="s">
        <v>3</v>
      </c>
      <c r="E24" s="87">
        <f>E11</f>
        <v>1.9894367886486919</v>
      </c>
      <c r="F24" s="28"/>
      <c r="G24" s="58"/>
      <c r="H24" s="58"/>
      <c r="I24" s="58"/>
      <c r="J24" s="58"/>
      <c r="K24" s="58"/>
    </row>
    <row r="25" spans="2:11">
      <c r="B25" s="58"/>
      <c r="C25" s="27"/>
      <c r="D25" s="82" t="s">
        <v>2</v>
      </c>
      <c r="E25" s="92">
        <f>1000000000000*(E60-E59^2)/(2*D4*E59*E60)</f>
        <v>44.359063530680288</v>
      </c>
      <c r="F25" s="28"/>
      <c r="G25" s="58"/>
      <c r="H25" s="58"/>
      <c r="I25" s="58"/>
      <c r="J25" s="58"/>
      <c r="K25" s="58"/>
    </row>
    <row r="26" spans="2:11" ht="15" thickBot="1">
      <c r="B26" s="58"/>
      <c r="C26" s="27"/>
      <c r="D26" s="144" t="s">
        <v>23</v>
      </c>
      <c r="E26" s="117">
        <f>1000000000000*E59/(E60*D4)</f>
        <v>10.753712371074009</v>
      </c>
      <c r="F26" s="28"/>
      <c r="G26" s="58"/>
      <c r="H26" s="58"/>
      <c r="I26" s="58"/>
      <c r="J26" s="58"/>
      <c r="K26" s="58"/>
    </row>
    <row r="27" spans="2:11" ht="15" thickTop="1">
      <c r="B27" s="58"/>
      <c r="C27" s="27"/>
      <c r="D27" s="46"/>
      <c r="E27" s="46"/>
      <c r="F27" s="28"/>
      <c r="G27" s="58"/>
      <c r="H27" s="58"/>
      <c r="I27" s="58"/>
      <c r="J27" s="58"/>
      <c r="K27" s="58"/>
    </row>
    <row r="28" spans="2:11">
      <c r="B28" s="58"/>
      <c r="C28" s="27"/>
      <c r="D28" s="46"/>
      <c r="E28" s="46"/>
      <c r="F28" s="28"/>
      <c r="G28" s="58"/>
      <c r="H28" s="58"/>
      <c r="I28" s="58"/>
      <c r="J28" s="58"/>
      <c r="K28" s="58"/>
    </row>
    <row r="29" spans="2:11">
      <c r="B29" s="58"/>
      <c r="C29" s="27"/>
      <c r="D29" s="46"/>
      <c r="E29" s="46"/>
      <c r="F29" s="28"/>
      <c r="G29" s="58"/>
      <c r="H29" s="58"/>
      <c r="I29" s="58"/>
      <c r="J29" s="58"/>
      <c r="K29" s="58"/>
    </row>
    <row r="30" spans="2:11">
      <c r="B30" s="58"/>
      <c r="C30" s="27"/>
      <c r="D30" s="46"/>
      <c r="E30" s="46"/>
      <c r="F30" s="28"/>
      <c r="G30" s="58"/>
      <c r="H30" s="58"/>
      <c r="I30" s="58"/>
      <c r="J30" s="58"/>
      <c r="K30" s="58"/>
    </row>
    <row r="31" spans="2:11">
      <c r="B31" s="58"/>
      <c r="C31" s="27"/>
      <c r="D31" s="46"/>
      <c r="E31" s="46"/>
      <c r="F31" s="28"/>
      <c r="G31" s="58"/>
      <c r="H31" s="58"/>
      <c r="I31" s="58"/>
      <c r="J31" s="58"/>
      <c r="K31" s="58"/>
    </row>
    <row r="32" spans="2:11" ht="15" thickBot="1">
      <c r="B32" s="58"/>
      <c r="C32" s="17"/>
      <c r="D32" s="33"/>
      <c r="E32" s="33"/>
      <c r="F32" s="30"/>
      <c r="G32" s="58"/>
      <c r="H32" s="58"/>
      <c r="I32" s="58"/>
      <c r="J32" s="58"/>
      <c r="K32" s="58"/>
    </row>
    <row r="33" spans="2:11" ht="15" thickTop="1">
      <c r="B33" s="58"/>
      <c r="C33" s="58"/>
      <c r="D33" s="58"/>
      <c r="E33" s="58"/>
      <c r="F33" s="58"/>
      <c r="G33" s="58"/>
      <c r="H33" s="58"/>
      <c r="I33" s="58"/>
      <c r="J33" s="58"/>
      <c r="K33" s="58"/>
    </row>
    <row r="34" spans="2:11">
      <c r="B34" s="58"/>
      <c r="C34" s="58"/>
      <c r="D34" s="58"/>
      <c r="E34" s="58"/>
      <c r="F34" s="58"/>
      <c r="G34" s="58"/>
      <c r="H34" s="58"/>
      <c r="I34" s="58"/>
      <c r="J34" s="58"/>
      <c r="K34" s="58"/>
    </row>
    <row r="35" spans="2:11">
      <c r="B35" s="58"/>
      <c r="C35" s="58"/>
      <c r="D35" s="58"/>
      <c r="E35" s="58"/>
      <c r="F35" s="58"/>
      <c r="G35" s="58"/>
      <c r="H35" s="58"/>
      <c r="I35" s="58"/>
      <c r="J35" s="58"/>
      <c r="K35" s="58"/>
    </row>
    <row r="36" spans="2:11">
      <c r="B36" s="58"/>
      <c r="C36" s="58"/>
      <c r="D36" s="58"/>
      <c r="E36" s="58"/>
      <c r="F36" s="58"/>
      <c r="G36" s="58"/>
      <c r="H36" s="58"/>
      <c r="I36" s="58"/>
      <c r="J36" s="58"/>
      <c r="K36" s="58"/>
    </row>
    <row r="37" spans="2:11">
      <c r="B37" s="58"/>
      <c r="C37" s="58"/>
      <c r="D37" s="58"/>
      <c r="E37" s="58"/>
      <c r="F37" s="58"/>
      <c r="G37" s="58"/>
      <c r="H37" s="58"/>
      <c r="I37" s="58"/>
      <c r="J37" s="58"/>
      <c r="K37" s="58"/>
    </row>
    <row r="38" spans="2:11">
      <c r="B38" s="58"/>
      <c r="C38" s="58"/>
      <c r="D38" s="58"/>
      <c r="E38" s="58"/>
      <c r="F38" s="58"/>
      <c r="G38" s="58"/>
      <c r="H38" s="58"/>
      <c r="I38" s="58"/>
      <c r="J38" s="58"/>
      <c r="K38" s="58"/>
    </row>
    <row r="39" spans="2:11">
      <c r="B39" s="58"/>
      <c r="C39" s="58"/>
      <c r="D39" s="58"/>
      <c r="E39" s="58"/>
      <c r="F39" s="58"/>
      <c r="G39" s="58"/>
      <c r="H39" s="58"/>
      <c r="I39" s="58"/>
      <c r="J39" s="58"/>
      <c r="K39" s="58"/>
    </row>
    <row r="40" spans="2:11">
      <c r="B40" s="58"/>
      <c r="C40" s="58"/>
      <c r="D40" s="58"/>
      <c r="E40" s="58"/>
      <c r="F40" s="58"/>
      <c r="G40" s="58"/>
      <c r="H40" s="58"/>
      <c r="I40" s="58"/>
      <c r="J40" s="58"/>
      <c r="K40" s="58"/>
    </row>
    <row r="41" spans="2:11">
      <c r="B41" s="58"/>
      <c r="C41" s="58"/>
      <c r="D41" s="58"/>
      <c r="E41" s="58"/>
      <c r="F41" s="58"/>
      <c r="G41" s="58"/>
      <c r="H41" s="58"/>
      <c r="I41" s="58"/>
      <c r="J41" s="58"/>
      <c r="K41" s="58"/>
    </row>
    <row r="59" spans="4:5">
      <c r="D59" t="s">
        <v>171</v>
      </c>
      <c r="E59">
        <f>4*PI()*D5*1000000</f>
        <v>50265482.457436688</v>
      </c>
    </row>
    <row r="60" spans="4:5">
      <c r="D60" t="s">
        <v>172</v>
      </c>
      <c r="E60">
        <f>(2*PI()*D5*1000000)^2+(2*PI()*D6*1000000)^2</f>
        <v>2.33712232217796E+16</v>
      </c>
    </row>
    <row r="61" spans="4:5">
      <c r="D61" t="s">
        <v>173</v>
      </c>
      <c r="E61">
        <f>1/(2*PI()*(E13*0.000000000001*E11*0.000001)^0.5)</f>
        <v>22978250.586152118</v>
      </c>
    </row>
    <row r="62" spans="4:5">
      <c r="D62" t="s">
        <v>174</v>
      </c>
      <c r="E62">
        <f>1/(2*PI()*(E10*0.000001*(E12/2)*0.000000000001)^0.5)</f>
        <v>24331050.12119288</v>
      </c>
    </row>
  </sheetData>
  <sheetProtection sheet="1" objects="1" scenarios="1"/>
  <pageMargins left="0.7" right="0.7" top="0.75" bottom="0.75" header="0.3" footer="0.3"/>
  <pageSetup orientation="portrait" horizontalDpi="4294967293" verticalDpi="0" r:id="rId1"/>
  <drawing r:id="rId2"/>
  <picture r:id="rId3"/>
</worksheet>
</file>

<file path=xl/worksheets/sheet11.xml><?xml version="1.0" encoding="utf-8"?>
<worksheet xmlns="http://schemas.openxmlformats.org/spreadsheetml/2006/main" xmlns:r="http://schemas.openxmlformats.org/officeDocument/2006/relationships">
  <dimension ref="B1:P58"/>
  <sheetViews>
    <sheetView showGridLines="0" workbookViewId="0">
      <selection activeCell="P22" sqref="P22"/>
    </sheetView>
  </sheetViews>
  <sheetFormatPr defaultRowHeight="14.4"/>
  <cols>
    <col min="1" max="1" width="1" customWidth="1"/>
    <col min="2" max="2" width="8.6640625" customWidth="1"/>
    <col min="3" max="3" width="9.109375" customWidth="1"/>
    <col min="4" max="4" width="12.5546875" customWidth="1"/>
    <col min="5" max="5" width="12.88671875" customWidth="1"/>
    <col min="6" max="6" width="10.88671875" customWidth="1"/>
    <col min="7" max="7" width="11.88671875" customWidth="1"/>
    <col min="8" max="8" width="11.5546875" customWidth="1"/>
    <col min="9" max="9" width="12.109375" customWidth="1"/>
    <col min="10" max="10" width="12" customWidth="1"/>
    <col min="11" max="11" width="10.44140625" customWidth="1"/>
    <col min="12" max="12" width="10.5546875" customWidth="1"/>
    <col min="13" max="13" width="11.88671875" customWidth="1"/>
    <col min="14" max="14" width="2" customWidth="1"/>
    <col min="16" max="16" width="29.6640625" customWidth="1"/>
  </cols>
  <sheetData>
    <row r="1" spans="2:16" ht="15" thickBot="1"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2:16" ht="15" thickTop="1">
      <c r="B2" s="16" t="s">
        <v>100</v>
      </c>
      <c r="C2" s="14"/>
      <c r="D2" s="14"/>
      <c r="E2" s="71">
        <v>2000</v>
      </c>
      <c r="F2" s="58"/>
      <c r="G2" s="58" t="s">
        <v>193</v>
      </c>
      <c r="H2" s="58"/>
      <c r="I2" s="58"/>
      <c r="J2" s="58"/>
      <c r="K2" s="58"/>
      <c r="L2" s="58"/>
      <c r="M2" s="58"/>
      <c r="N2" s="58"/>
      <c r="O2" s="58"/>
      <c r="P2" s="58"/>
    </row>
    <row r="3" spans="2:16" ht="15" thickBot="1">
      <c r="B3" s="31" t="s">
        <v>75</v>
      </c>
      <c r="C3" s="32"/>
      <c r="D3" s="32"/>
      <c r="E3" s="74">
        <v>14</v>
      </c>
      <c r="F3" s="58"/>
      <c r="G3" s="58" t="s">
        <v>195</v>
      </c>
      <c r="H3" s="58"/>
      <c r="I3" s="58"/>
      <c r="J3" s="58"/>
      <c r="K3" s="58"/>
      <c r="L3" s="58"/>
      <c r="M3" s="58"/>
      <c r="N3" s="58"/>
      <c r="O3" s="58"/>
      <c r="P3" s="58"/>
    </row>
    <row r="4" spans="2:16" ht="15" thickTop="1">
      <c r="B4" s="27" t="s">
        <v>73</v>
      </c>
      <c r="C4" s="46"/>
      <c r="D4" s="46"/>
      <c r="E4" s="174">
        <v>1</v>
      </c>
      <c r="F4" s="58"/>
      <c r="G4" s="58" t="s">
        <v>196</v>
      </c>
      <c r="H4" s="58"/>
      <c r="I4" s="58"/>
      <c r="J4" s="58"/>
      <c r="K4" s="58"/>
      <c r="L4" s="58"/>
      <c r="M4" s="58"/>
      <c r="N4" s="58"/>
      <c r="O4" s="16" t="s">
        <v>213</v>
      </c>
      <c r="P4" s="108"/>
    </row>
    <row r="5" spans="2:16" ht="15" thickBot="1">
      <c r="B5" s="36" t="s">
        <v>183</v>
      </c>
      <c r="C5" s="37"/>
      <c r="D5" s="37"/>
      <c r="E5" s="125">
        <v>200</v>
      </c>
      <c r="F5" s="58"/>
      <c r="G5" s="58"/>
      <c r="H5" s="58"/>
      <c r="I5" s="58"/>
      <c r="J5" s="58"/>
      <c r="K5" s="58"/>
      <c r="L5" s="58"/>
      <c r="M5" s="58"/>
      <c r="N5" s="58"/>
      <c r="O5" s="27" t="s">
        <v>232</v>
      </c>
      <c r="P5" s="28"/>
    </row>
    <row r="6" spans="2:16" ht="15.6" thickTop="1" thickBot="1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27" t="s">
        <v>74</v>
      </c>
      <c r="P6" s="28"/>
    </row>
    <row r="7" spans="2:16" ht="15" thickTop="1">
      <c r="B7" s="58"/>
      <c r="C7" s="58"/>
      <c r="D7" s="16" t="s">
        <v>243</v>
      </c>
      <c r="E7" s="14" t="s">
        <v>242</v>
      </c>
      <c r="F7" s="12"/>
      <c r="G7" s="14" t="s">
        <v>46</v>
      </c>
      <c r="H7" s="12"/>
      <c r="I7" s="14" t="s">
        <v>58</v>
      </c>
      <c r="J7" s="12" t="s">
        <v>60</v>
      </c>
      <c r="K7" s="14"/>
      <c r="L7" s="12" t="s">
        <v>34</v>
      </c>
      <c r="M7" s="14"/>
      <c r="N7" s="27"/>
      <c r="O7" s="27" t="s">
        <v>202</v>
      </c>
      <c r="P7" s="28"/>
    </row>
    <row r="8" spans="2:16">
      <c r="B8" s="58"/>
      <c r="C8" s="58"/>
      <c r="D8" s="76" t="s">
        <v>2</v>
      </c>
      <c r="E8" s="78">
        <f>IF(E3/E4&gt;9,E58-E10/2,"***")</f>
        <v>109.68094864439796</v>
      </c>
      <c r="F8" s="79" t="s">
        <v>2</v>
      </c>
      <c r="G8" s="78">
        <f>G58-G10/2</f>
        <v>111.09313443332593</v>
      </c>
      <c r="H8" s="79" t="s">
        <v>2</v>
      </c>
      <c r="I8" s="78">
        <f>I58-I10/2</f>
        <v>104.00605007902048</v>
      </c>
      <c r="J8" s="79" t="s">
        <v>2</v>
      </c>
      <c r="K8" s="78">
        <f>K58-K10/2</f>
        <v>100.07756609352701</v>
      </c>
      <c r="L8" s="79" t="s">
        <v>2</v>
      </c>
      <c r="M8" s="78">
        <f>M58-M10/2</f>
        <v>98.479053633847798</v>
      </c>
      <c r="N8" s="27"/>
      <c r="O8" s="29" t="s">
        <v>96</v>
      </c>
      <c r="P8" s="28"/>
    </row>
    <row r="9" spans="2:16">
      <c r="B9" s="58"/>
      <c r="C9" s="58"/>
      <c r="D9" s="82" t="s">
        <v>22</v>
      </c>
      <c r="E9" s="85">
        <f>IF(E3/E4&gt;9,1/(4*PI()^2*(E3*1000000)^2*(E8+E10/1.414)*0.000000000001)*1000000,"***")</f>
        <v>1.1366402792309647</v>
      </c>
      <c r="F9" s="86" t="s">
        <v>22</v>
      </c>
      <c r="G9" s="85">
        <f>1/(4*(PI())^2*(E3*1000000)^2*(G8/1+G10/1.414)*0.000000000001)*1000000*1</f>
        <v>1.1246161393511747</v>
      </c>
      <c r="H9" s="86" t="s">
        <v>22</v>
      </c>
      <c r="I9" s="85">
        <f>1/(4*PI()^2*(E3*1000000)^2*(I8+I10/1.414)*0.000000000001)*1000000</f>
        <v>1.1997104639762171</v>
      </c>
      <c r="J9" s="86" t="s">
        <v>22</v>
      </c>
      <c r="K9" s="85">
        <f>1/(4*PI()^2*(1000000*E3)^2*(K8+K10/1.414)*0.000000000001)*1000000</f>
        <v>1.2459735521791384</v>
      </c>
      <c r="L9" s="86" t="s">
        <v>22</v>
      </c>
      <c r="M9" s="85">
        <f>1/(4*PI()^2*(E3*1000000)^2*(M8+M10/1.414)*0.000000000001)*1000000</f>
        <v>1.265354220054183</v>
      </c>
      <c r="N9" s="27"/>
      <c r="O9" s="29" t="s">
        <v>97</v>
      </c>
      <c r="P9" s="28"/>
    </row>
    <row r="10" spans="2:16">
      <c r="B10" s="58"/>
      <c r="C10" s="58"/>
      <c r="D10" s="82" t="s">
        <v>185</v>
      </c>
      <c r="E10" s="85">
        <f>IF(E3/E4&gt;9,0.7071*E58*E4/E3,"***")</f>
        <v>5.6831922431440995</v>
      </c>
      <c r="F10" s="86" t="s">
        <v>181</v>
      </c>
      <c r="G10" s="90">
        <f>0.665*G58*E4/E3</f>
        <v>5.405299754758496</v>
      </c>
      <c r="H10" s="91" t="s">
        <v>185</v>
      </c>
      <c r="I10" s="90">
        <f>0.69*I58*E4/E3</f>
        <v>5.2555235850988007</v>
      </c>
      <c r="J10" s="91" t="s">
        <v>185</v>
      </c>
      <c r="K10" s="90">
        <f>0.703*K58*E4/E3</f>
        <v>5.1547444014909685</v>
      </c>
      <c r="L10" s="91" t="s">
        <v>185</v>
      </c>
      <c r="M10" s="90">
        <f>0.716*M58*E4/E3</f>
        <v>5.1686704590115102</v>
      </c>
      <c r="N10" s="27"/>
      <c r="O10" s="29" t="s">
        <v>102</v>
      </c>
      <c r="P10" s="28"/>
    </row>
    <row r="11" spans="2:16">
      <c r="B11" s="58"/>
      <c r="C11" s="58"/>
      <c r="D11" s="82" t="s">
        <v>23</v>
      </c>
      <c r="E11" s="90">
        <f>E8</f>
        <v>109.68094864439796</v>
      </c>
      <c r="F11" s="86" t="s">
        <v>3</v>
      </c>
      <c r="G11" s="85">
        <f>G9</f>
        <v>1.1246161393511747</v>
      </c>
      <c r="H11" s="91" t="s">
        <v>3</v>
      </c>
      <c r="I11" s="85">
        <f>I9</f>
        <v>1.1997104639762171</v>
      </c>
      <c r="J11" s="91" t="s">
        <v>3</v>
      </c>
      <c r="K11" s="85">
        <f>K9</f>
        <v>1.2459735521791384</v>
      </c>
      <c r="L11" s="91" t="s">
        <v>3</v>
      </c>
      <c r="M11" s="85">
        <f>M9</f>
        <v>1.265354220054183</v>
      </c>
      <c r="N11" s="27"/>
      <c r="O11" s="29" t="s">
        <v>163</v>
      </c>
      <c r="P11" s="28"/>
    </row>
    <row r="12" spans="2:16">
      <c r="B12" s="58"/>
      <c r="C12" s="58"/>
      <c r="D12" s="82" t="s">
        <v>3</v>
      </c>
      <c r="E12" s="85">
        <f>E9</f>
        <v>1.1366402792309647</v>
      </c>
      <c r="F12" s="86" t="s">
        <v>23</v>
      </c>
      <c r="G12" s="90">
        <f>G8-(1*G10)</f>
        <v>105.68783467856743</v>
      </c>
      <c r="H12" s="91" t="s">
        <v>23</v>
      </c>
      <c r="I12" s="90">
        <f>I14</f>
        <v>99.314162356671417</v>
      </c>
      <c r="J12" s="91" t="s">
        <v>23</v>
      </c>
      <c r="K12" s="90">
        <f>K58-(K10/2+K15/1)</f>
        <v>96.154680951567315</v>
      </c>
      <c r="L12" s="91" t="s">
        <v>23</v>
      </c>
      <c r="M12" s="90">
        <f>M58-(M10/2+M15/1)</f>
        <v>94.588113162608693</v>
      </c>
      <c r="N12" s="27"/>
      <c r="O12" s="57" t="s">
        <v>139</v>
      </c>
      <c r="P12" s="28"/>
    </row>
    <row r="13" spans="2:16" ht="15" thickBot="1">
      <c r="B13" s="58"/>
      <c r="C13" s="58"/>
      <c r="D13" s="144" t="s">
        <v>184</v>
      </c>
      <c r="E13" s="172">
        <f>IF(E3/E4&gt;9,(G16-0.1)*3/5,"***")</f>
        <v>0.72911999999999999</v>
      </c>
      <c r="F13" s="86" t="s">
        <v>56</v>
      </c>
      <c r="G13" s="85">
        <f>G9</f>
        <v>1.1246161393511747</v>
      </c>
      <c r="H13" s="91" t="s">
        <v>24</v>
      </c>
      <c r="I13" s="85">
        <f>I9</f>
        <v>1.1997104639762171</v>
      </c>
      <c r="J13" s="91" t="s">
        <v>24</v>
      </c>
      <c r="K13" s="85">
        <f>K9</f>
        <v>1.2459735521791384</v>
      </c>
      <c r="L13" s="91" t="s">
        <v>24</v>
      </c>
      <c r="M13" s="85">
        <f>M9</f>
        <v>1.265354220054183</v>
      </c>
      <c r="N13" s="27"/>
      <c r="O13" s="60" t="s">
        <v>176</v>
      </c>
      <c r="P13" s="28"/>
    </row>
    <row r="14" spans="2:16" ht="15" thickTop="1">
      <c r="B14" s="58"/>
      <c r="C14" s="58"/>
      <c r="D14" s="14"/>
      <c r="E14" s="62" t="str">
        <f>IF(E3/E4&gt;9,""," ↖ ")</f>
        <v/>
      </c>
      <c r="F14" s="82" t="s">
        <v>4</v>
      </c>
      <c r="G14" s="90">
        <f>G8</f>
        <v>111.09313443332593</v>
      </c>
      <c r="H14" s="91" t="s">
        <v>4</v>
      </c>
      <c r="I14" s="90">
        <f>I58-(I10/1+I15/2)</f>
        <v>99.314162356671417</v>
      </c>
      <c r="J14" s="91" t="s">
        <v>4</v>
      </c>
      <c r="K14" s="90">
        <f>K58-((K15/1)+(K10/2))</f>
        <v>96.154680951567315</v>
      </c>
      <c r="L14" s="91" t="s">
        <v>4</v>
      </c>
      <c r="M14" s="90">
        <f>M17</f>
        <v>95.302775698142398</v>
      </c>
      <c r="N14" s="27"/>
      <c r="O14" s="54" t="s">
        <v>188</v>
      </c>
      <c r="P14" s="66"/>
    </row>
    <row r="15" spans="2:16">
      <c r="B15" s="58"/>
      <c r="C15" s="61" t="str">
        <f>IF(E3/E4&gt;9,"","                2 Section BW &gt;11% ")</f>
        <v/>
      </c>
      <c r="D15" s="58"/>
      <c r="E15" s="58"/>
      <c r="F15" s="82" t="s">
        <v>182</v>
      </c>
      <c r="G15" s="90">
        <f>G10</f>
        <v>5.405299754758496</v>
      </c>
      <c r="H15" s="91" t="s">
        <v>182</v>
      </c>
      <c r="I15" s="90">
        <f>I10*0.542/0.69</f>
        <v>4.1282518595993478</v>
      </c>
      <c r="J15" s="86" t="s">
        <v>182</v>
      </c>
      <c r="K15" s="90">
        <f>K10*0.535/0.703</f>
        <v>3.9228851419596991</v>
      </c>
      <c r="L15" s="86" t="s">
        <v>182</v>
      </c>
      <c r="M15" s="85">
        <f>M10*0.539/0.716</f>
        <v>3.8909404712391118</v>
      </c>
      <c r="N15" s="27"/>
      <c r="O15" s="27" t="s">
        <v>207</v>
      </c>
      <c r="P15" s="28"/>
    </row>
    <row r="16" spans="2:16" ht="15" thickBot="1">
      <c r="B16" s="58"/>
      <c r="C16" s="58"/>
      <c r="D16" s="58"/>
      <c r="E16" s="58"/>
      <c r="F16" s="72" t="s">
        <v>184</v>
      </c>
      <c r="G16" s="175">
        <f>4.34*((E3/E4)/E5)*4+0.1</f>
        <v>1.3152000000000001</v>
      </c>
      <c r="H16" s="86" t="s">
        <v>7</v>
      </c>
      <c r="I16" s="85">
        <f>I9</f>
        <v>1.1997104639762171</v>
      </c>
      <c r="J16" s="86" t="s">
        <v>7</v>
      </c>
      <c r="K16" s="90">
        <f>K9</f>
        <v>1.2459735521791384</v>
      </c>
      <c r="L16" s="86" t="s">
        <v>189</v>
      </c>
      <c r="M16" s="85">
        <f>M9</f>
        <v>1.265354220054183</v>
      </c>
      <c r="N16" s="27"/>
      <c r="O16" s="27" t="s">
        <v>205</v>
      </c>
      <c r="P16" s="28"/>
    </row>
    <row r="17" spans="2:16" ht="15.6" thickTop="1" thickBot="1">
      <c r="B17" s="58"/>
      <c r="C17" s="58"/>
      <c r="D17" s="58"/>
      <c r="E17" s="58"/>
      <c r="F17" s="165"/>
      <c r="G17" s="48"/>
      <c r="H17" s="103" t="s">
        <v>25</v>
      </c>
      <c r="I17" s="90">
        <f>I8</f>
        <v>104.00605007902048</v>
      </c>
      <c r="J17" s="86" t="s">
        <v>25</v>
      </c>
      <c r="K17" s="90">
        <f>K12</f>
        <v>96.154680951567315</v>
      </c>
      <c r="L17" s="80" t="s">
        <v>25</v>
      </c>
      <c r="M17" s="90">
        <f>M58-(M15/1+M18/2)</f>
        <v>95.302775698142398</v>
      </c>
      <c r="N17" s="27"/>
      <c r="O17" s="17" t="s">
        <v>225</v>
      </c>
      <c r="P17" s="30"/>
    </row>
    <row r="18" spans="2:16" ht="15" thickTop="1">
      <c r="B18" s="58"/>
      <c r="C18" s="58"/>
      <c r="D18" s="58"/>
      <c r="E18" s="58"/>
      <c r="F18" s="48"/>
      <c r="G18" s="48"/>
      <c r="H18" s="176" t="s">
        <v>186</v>
      </c>
      <c r="I18" s="81">
        <f>I10</f>
        <v>5.2555235850988007</v>
      </c>
      <c r="J18" s="86" t="s">
        <v>186</v>
      </c>
      <c r="K18" s="90">
        <f>K15</f>
        <v>3.9228851419596991</v>
      </c>
      <c r="L18" s="86" t="s">
        <v>186</v>
      </c>
      <c r="M18" s="90">
        <f>M10*0.518/0.716</f>
        <v>3.7393453879440814</v>
      </c>
      <c r="N18" s="27"/>
      <c r="O18" s="58"/>
      <c r="P18" s="58"/>
    </row>
    <row r="19" spans="2:16" ht="15" thickBot="1">
      <c r="B19" s="58"/>
      <c r="C19" s="58"/>
      <c r="D19" s="58"/>
      <c r="E19" s="58"/>
      <c r="F19" s="48"/>
      <c r="G19" s="48"/>
      <c r="H19" s="72" t="s">
        <v>184</v>
      </c>
      <c r="I19" s="175">
        <f>G16*4.9/4+0.1</f>
        <v>1.7111200000000004</v>
      </c>
      <c r="J19" s="86" t="s">
        <v>26</v>
      </c>
      <c r="K19" s="85">
        <f>K9</f>
        <v>1.2459735521791384</v>
      </c>
      <c r="L19" s="86" t="s">
        <v>26</v>
      </c>
      <c r="M19" s="87">
        <f>M9</f>
        <v>1.265354220054183</v>
      </c>
      <c r="N19" s="27"/>
      <c r="O19" s="58"/>
      <c r="P19" s="58"/>
    </row>
    <row r="20" spans="2:16" ht="15" thickTop="1">
      <c r="B20" s="58"/>
      <c r="C20" s="58"/>
      <c r="D20" s="58"/>
      <c r="E20" s="58"/>
      <c r="F20" s="177"/>
      <c r="G20" s="177"/>
      <c r="H20" s="58"/>
      <c r="I20" s="58"/>
      <c r="J20" s="82" t="s">
        <v>8</v>
      </c>
      <c r="K20" s="90">
        <f>K8</f>
        <v>100.07756609352701</v>
      </c>
      <c r="L20" s="86" t="s">
        <v>8</v>
      </c>
      <c r="M20" s="92">
        <f>M12</f>
        <v>94.588113162608693</v>
      </c>
      <c r="N20" s="58"/>
      <c r="O20" s="58"/>
      <c r="P20" s="58"/>
    </row>
    <row r="21" spans="2:16">
      <c r="B21" s="58"/>
      <c r="C21" s="58"/>
      <c r="D21" s="58"/>
      <c r="E21" s="58"/>
      <c r="F21" s="58"/>
      <c r="G21" s="58"/>
      <c r="H21" s="58"/>
      <c r="I21" s="58"/>
      <c r="J21" s="82" t="s">
        <v>187</v>
      </c>
      <c r="K21" s="90">
        <f>K10</f>
        <v>5.1547444014909685</v>
      </c>
      <c r="L21" s="86" t="s">
        <v>187</v>
      </c>
      <c r="M21" s="87">
        <f>M15</f>
        <v>3.8909404712391118</v>
      </c>
      <c r="N21" s="58"/>
      <c r="O21" s="58"/>
      <c r="P21" s="58"/>
    </row>
    <row r="22" spans="2:16" ht="15" thickBot="1">
      <c r="B22" s="58"/>
      <c r="C22" s="58"/>
      <c r="D22" s="58"/>
      <c r="E22" s="58"/>
      <c r="F22" s="58"/>
      <c r="G22" s="58"/>
      <c r="H22" s="58"/>
      <c r="I22" s="58"/>
      <c r="J22" s="144" t="s">
        <v>184</v>
      </c>
      <c r="K22" s="172">
        <f>G16*6/4+0.1</f>
        <v>2.0728000000000004</v>
      </c>
      <c r="L22" s="86" t="s">
        <v>27</v>
      </c>
      <c r="M22" s="92">
        <f>M8</f>
        <v>98.479053633847798</v>
      </c>
      <c r="N22" s="58"/>
      <c r="O22" s="58"/>
      <c r="P22" s="58"/>
    </row>
    <row r="23" spans="2:16" ht="15" thickTop="1"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82" t="s">
        <v>10</v>
      </c>
      <c r="M23" s="87">
        <f>M9</f>
        <v>1.265354220054183</v>
      </c>
      <c r="N23" s="58"/>
      <c r="O23" s="58"/>
      <c r="P23" s="58"/>
    </row>
    <row r="24" spans="2:16"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82" t="s">
        <v>190</v>
      </c>
      <c r="M24" s="92">
        <f>M10</f>
        <v>5.1686704590115102</v>
      </c>
      <c r="N24" s="58"/>
      <c r="O24" s="58"/>
      <c r="P24" s="58"/>
    </row>
    <row r="25" spans="2:16" ht="15" thickBot="1"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144" t="s">
        <v>184</v>
      </c>
      <c r="M25" s="117">
        <f>G16*8/4+0.1</f>
        <v>2.7304000000000004</v>
      </c>
      <c r="N25" s="58"/>
      <c r="O25" s="58"/>
      <c r="P25" s="58"/>
    </row>
    <row r="26" spans="2:16" ht="15" thickTop="1"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</row>
    <row r="27" spans="2:16"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</row>
    <row r="28" spans="2:16"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</row>
    <row r="29" spans="2:16"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</row>
    <row r="30" spans="2:16"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</row>
    <row r="31" spans="2:16"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</row>
    <row r="32" spans="2:16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</row>
    <row r="56" spans="5:13">
      <c r="E56">
        <f>G56*1.414/1.43</f>
        <v>80.373246261407147</v>
      </c>
      <c r="G56" s="59">
        <f>((1/(2*PI()*E3*1000000*E2))*10000000000000)*1.43</f>
        <v>81.282703079075119</v>
      </c>
      <c r="I56">
        <f>G56*1.34/1.43</f>
        <v>76.167008479692782</v>
      </c>
      <c r="K56">
        <f>G56*1.29/1.43</f>
        <v>73.324955924480349</v>
      </c>
      <c r="M56">
        <f>G56*1.27/1.43</f>
        <v>72.18813490239539</v>
      </c>
    </row>
    <row r="57" spans="5:13">
      <c r="E57">
        <f>(E3/E4)/(2*PI()*E3*1000000*E2)*1000000000000</f>
        <v>79.577471545947674</v>
      </c>
      <c r="G57">
        <f>E57</f>
        <v>79.577471545947674</v>
      </c>
      <c r="I57">
        <f>E57</f>
        <v>79.577471545947674</v>
      </c>
      <c r="K57">
        <f>E57</f>
        <v>79.577471545947674</v>
      </c>
      <c r="M57">
        <f>E57</f>
        <v>79.577471545947674</v>
      </c>
    </row>
    <row r="58" spans="5:13">
      <c r="E58">
        <f>E57*1.414</f>
        <v>112.52254476597001</v>
      </c>
      <c r="G58">
        <f>G57*1.43</f>
        <v>113.79578431070517</v>
      </c>
      <c r="I58">
        <f>I57*1.34</f>
        <v>106.63381187156989</v>
      </c>
      <c r="K58">
        <f>K57*1.29</f>
        <v>102.6549382942725</v>
      </c>
      <c r="M58">
        <f>M57*1.27</f>
        <v>101.06338886335355</v>
      </c>
    </row>
  </sheetData>
  <sheetProtection sheet="1" objects="1" scenarios="1"/>
  <pageMargins left="0.7" right="0.7" top="0.75" bottom="0.75" header="0.3" footer="0.3"/>
  <pageSetup orientation="portrait" horizontalDpi="4294967293" verticalDpi="0" r:id="rId1"/>
  <drawing r:id="rId2"/>
  <picture r:id="rId3"/>
</worksheet>
</file>

<file path=xl/worksheets/sheet12.xml><?xml version="1.0" encoding="utf-8"?>
<worksheet xmlns="http://schemas.openxmlformats.org/spreadsheetml/2006/main" xmlns:r="http://schemas.openxmlformats.org/officeDocument/2006/relationships">
  <dimension ref="B1:T89"/>
  <sheetViews>
    <sheetView showGridLines="0" workbookViewId="0">
      <selection activeCell="I78" sqref="I78"/>
    </sheetView>
  </sheetViews>
  <sheetFormatPr defaultRowHeight="14.4"/>
  <cols>
    <col min="1" max="1" width="2" customWidth="1"/>
    <col min="2" max="2" width="8.88671875" customWidth="1"/>
    <col min="4" max="4" width="10.109375" customWidth="1"/>
    <col min="5" max="5" width="10.44140625" customWidth="1"/>
    <col min="6" max="6" width="10.109375" customWidth="1"/>
    <col min="7" max="7" width="9.88671875" customWidth="1"/>
    <col min="8" max="8" width="10.44140625" customWidth="1"/>
    <col min="10" max="10" width="9.33203125" customWidth="1"/>
    <col min="12" max="12" width="8.33203125" customWidth="1"/>
    <col min="14" max="14" width="9.109375" customWidth="1"/>
    <col min="15" max="15" width="9" customWidth="1"/>
    <col min="16" max="16" width="9.33203125" customWidth="1"/>
    <col min="17" max="17" width="3.5546875" customWidth="1"/>
    <col min="20" max="20" width="31.44140625" customWidth="1"/>
  </cols>
  <sheetData>
    <row r="1" spans="2:20" ht="15" thickBot="1"/>
    <row r="2" spans="2:20" ht="15" thickTop="1">
      <c r="R2" s="63" t="s">
        <v>238</v>
      </c>
      <c r="S2" s="64"/>
      <c r="T2" s="65"/>
    </row>
    <row r="3" spans="2:20" ht="18">
      <c r="B3" s="58"/>
      <c r="C3" s="58"/>
      <c r="D3" s="1" t="s">
        <v>140</v>
      </c>
      <c r="E3" s="58"/>
      <c r="F3" s="58"/>
      <c r="G3" s="1" t="s">
        <v>197</v>
      </c>
      <c r="H3" s="58"/>
      <c r="I3" s="58"/>
      <c r="J3" s="58"/>
      <c r="K3" s="58"/>
      <c r="L3" s="58"/>
      <c r="M3" s="58"/>
      <c r="N3" s="58"/>
      <c r="O3" s="58"/>
      <c r="P3" s="58"/>
      <c r="Q3" s="58"/>
      <c r="R3" s="27" t="s">
        <v>233</v>
      </c>
      <c r="S3" s="46"/>
      <c r="T3" s="28"/>
    </row>
    <row r="4" spans="2:20" ht="15" thickBot="1">
      <c r="B4" s="58"/>
      <c r="C4" s="58"/>
      <c r="D4" s="58"/>
      <c r="E4" s="58"/>
      <c r="F4" s="58"/>
      <c r="G4" s="58"/>
      <c r="H4" s="58"/>
      <c r="I4" s="58"/>
      <c r="J4" s="58"/>
      <c r="M4" s="58"/>
      <c r="N4" s="58"/>
      <c r="O4" s="58"/>
      <c r="P4" s="58"/>
      <c r="Q4" s="58"/>
      <c r="R4" s="27" t="s">
        <v>74</v>
      </c>
      <c r="S4" s="46"/>
      <c r="T4" s="28"/>
    </row>
    <row r="5" spans="2:20" ht="15" thickTop="1">
      <c r="B5" s="58"/>
      <c r="C5" s="16" t="s">
        <v>13</v>
      </c>
      <c r="D5" s="14"/>
      <c r="E5" s="14"/>
      <c r="F5" s="120">
        <v>50</v>
      </c>
      <c r="G5" s="58"/>
      <c r="H5" s="58"/>
      <c r="I5" s="58"/>
      <c r="J5" s="58"/>
      <c r="M5" s="58"/>
      <c r="N5" s="58"/>
      <c r="O5" s="58"/>
      <c r="P5" s="58"/>
      <c r="Q5" s="58"/>
      <c r="R5" s="27" t="s">
        <v>214</v>
      </c>
      <c r="S5" s="46"/>
      <c r="T5" s="28"/>
    </row>
    <row r="6" spans="2:20">
      <c r="B6" s="58"/>
      <c r="C6" s="27"/>
      <c r="D6" s="46"/>
      <c r="E6" s="46"/>
      <c r="F6" s="2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29" t="s">
        <v>96</v>
      </c>
      <c r="S6" s="46"/>
      <c r="T6" s="28"/>
    </row>
    <row r="7" spans="2:20" ht="15" thickBot="1">
      <c r="B7" s="58"/>
      <c r="C7" s="17" t="s">
        <v>14</v>
      </c>
      <c r="D7" s="33"/>
      <c r="E7" s="33"/>
      <c r="F7" s="121">
        <v>30</v>
      </c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29" t="s">
        <v>97</v>
      </c>
      <c r="S7" s="46"/>
      <c r="T7" s="28"/>
    </row>
    <row r="8" spans="2:20" ht="15" thickTop="1">
      <c r="B8" s="58"/>
      <c r="C8" s="46"/>
      <c r="D8" s="46"/>
      <c r="E8" s="46"/>
      <c r="F8" s="122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29" t="s">
        <v>102</v>
      </c>
      <c r="S8" s="46"/>
      <c r="T8" s="28"/>
    </row>
    <row r="9" spans="2:20">
      <c r="B9" s="58"/>
      <c r="C9" s="46"/>
      <c r="D9" s="46"/>
      <c r="E9" s="46"/>
      <c r="F9" s="122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29" t="s">
        <v>163</v>
      </c>
      <c r="S9" s="46"/>
      <c r="T9" s="28"/>
    </row>
    <row r="10" spans="2:20">
      <c r="B10" s="58"/>
      <c r="C10" s="46"/>
      <c r="D10" s="46"/>
      <c r="E10" s="46"/>
      <c r="F10" s="122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29" t="s">
        <v>139</v>
      </c>
      <c r="S10" s="46"/>
      <c r="T10" s="28"/>
    </row>
    <row r="11" spans="2:20">
      <c r="B11" s="58"/>
      <c r="C11" s="46"/>
      <c r="D11" s="46"/>
      <c r="E11" s="46"/>
      <c r="F11" s="122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29" t="s">
        <v>176</v>
      </c>
      <c r="S11" s="46"/>
      <c r="T11" s="28"/>
    </row>
    <row r="12" spans="2:20">
      <c r="B12" s="58"/>
      <c r="C12" s="46"/>
      <c r="D12" s="46"/>
      <c r="E12" s="46"/>
      <c r="F12" s="122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29" t="s">
        <v>194</v>
      </c>
      <c r="S12" s="46"/>
      <c r="T12" s="28"/>
    </row>
    <row r="13" spans="2:20">
      <c r="B13" s="58"/>
      <c r="C13" s="46"/>
      <c r="D13" s="46"/>
      <c r="E13" s="46"/>
      <c r="F13" s="122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5" t="s">
        <v>237</v>
      </c>
      <c r="S13" s="178"/>
      <c r="T13" s="66"/>
    </row>
    <row r="14" spans="2:20" ht="15" thickBot="1"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27" t="s">
        <v>208</v>
      </c>
      <c r="S14" s="46"/>
      <c r="T14" s="28"/>
    </row>
    <row r="15" spans="2:20" ht="15.6" thickTop="1" thickBot="1">
      <c r="B15" s="16"/>
      <c r="C15" s="12" t="s">
        <v>15</v>
      </c>
      <c r="D15" s="13"/>
      <c r="E15" s="14" t="s">
        <v>16</v>
      </c>
      <c r="F15" s="14"/>
      <c r="G15" s="12" t="s">
        <v>17</v>
      </c>
      <c r="H15" s="14"/>
      <c r="I15" s="12" t="s">
        <v>18</v>
      </c>
      <c r="J15" s="14"/>
      <c r="K15" s="12" t="s">
        <v>19</v>
      </c>
      <c r="L15" s="13"/>
      <c r="M15" s="14" t="s">
        <v>20</v>
      </c>
      <c r="N15" s="14"/>
      <c r="O15" s="12" t="s">
        <v>21</v>
      </c>
      <c r="P15" s="108"/>
      <c r="Q15" s="46"/>
      <c r="R15" s="17" t="s">
        <v>225</v>
      </c>
      <c r="S15" s="33"/>
      <c r="T15" s="30"/>
    </row>
    <row r="16" spans="2:20" ht="15" thickTop="1">
      <c r="B16" s="15" t="s">
        <v>0</v>
      </c>
      <c r="C16" s="80" t="s">
        <v>2</v>
      </c>
      <c r="D16" s="81">
        <f>0.8533*E87</f>
        <v>90.537941960209523</v>
      </c>
      <c r="E16" s="80" t="s">
        <v>2</v>
      </c>
      <c r="F16" s="81">
        <f>0.7994*E87</f>
        <v>84.818974338440754</v>
      </c>
      <c r="G16" s="80" t="s">
        <v>2</v>
      </c>
      <c r="H16" s="81">
        <f>0.9732*E87</f>
        <v>103.2597270780217</v>
      </c>
      <c r="I16" s="80" t="s">
        <v>2</v>
      </c>
      <c r="J16" s="81">
        <f>0.8989*E87</f>
        <v>95.37625223020315</v>
      </c>
      <c r="K16" s="80" t="s">
        <v>2</v>
      </c>
      <c r="L16" s="81">
        <f>1.01*E87</f>
        <v>107.16432834854287</v>
      </c>
      <c r="M16" s="80" t="s">
        <v>2</v>
      </c>
      <c r="N16" s="81">
        <f>0.943*E87</f>
        <v>100.05540755710487</v>
      </c>
      <c r="O16" s="80" t="s">
        <v>2</v>
      </c>
      <c r="P16" s="114">
        <f>1.025*E87</f>
        <v>108.75587777946181</v>
      </c>
      <c r="Q16" s="81"/>
      <c r="R16" s="58"/>
      <c r="S16" s="58"/>
      <c r="T16" s="58"/>
    </row>
    <row r="17" spans="2:20">
      <c r="B17" s="15" t="s">
        <v>9</v>
      </c>
      <c r="C17" s="86" t="s">
        <v>3</v>
      </c>
      <c r="D17" s="83">
        <f>1.1036*E88</f>
        <v>0.2927389919936928</v>
      </c>
      <c r="E17" s="86" t="s">
        <v>3</v>
      </c>
      <c r="F17" s="83">
        <f>1.354*E88</f>
        <v>0.3591596549107105</v>
      </c>
      <c r="G17" s="86" t="s">
        <v>3</v>
      </c>
      <c r="H17" s="83">
        <f>1.372*E88</f>
        <v>0.36393430320346737</v>
      </c>
      <c r="I17" s="86" t="s">
        <v>3</v>
      </c>
      <c r="J17" s="83">
        <f>1.478*E88</f>
        <v>0.39205167648303552</v>
      </c>
      <c r="K17" s="86" t="s">
        <v>3</v>
      </c>
      <c r="L17" s="83">
        <f>1.437*E88</f>
        <v>0.38117608870508934</v>
      </c>
      <c r="M17" s="86" t="s">
        <v>3</v>
      </c>
      <c r="N17" s="83">
        <f>1.507*E88</f>
        <v>0.39974416539914376</v>
      </c>
      <c r="O17" s="86" t="s">
        <v>3</v>
      </c>
      <c r="P17" s="87">
        <f>1.462*E88</f>
        <v>0.38780754466725159</v>
      </c>
      <c r="Q17" s="106"/>
      <c r="R17" s="58"/>
      <c r="S17" s="58"/>
      <c r="T17" s="58"/>
    </row>
    <row r="18" spans="2:20">
      <c r="B18" s="15"/>
      <c r="C18" s="97" t="s">
        <v>4</v>
      </c>
      <c r="D18" s="110">
        <f>D16</f>
        <v>90.537941960209523</v>
      </c>
      <c r="E18" s="86" t="s">
        <v>4</v>
      </c>
      <c r="F18" s="88">
        <f>1.354*E87</f>
        <v>143.66386196428422</v>
      </c>
      <c r="G18" s="86" t="s">
        <v>4</v>
      </c>
      <c r="H18" s="88">
        <f>1.803*E87</f>
        <v>191.30424159645821</v>
      </c>
      <c r="I18" s="86" t="s">
        <v>4</v>
      </c>
      <c r="J18" s="88">
        <f>1.721*E87</f>
        <v>182.60377137410129</v>
      </c>
      <c r="K18" s="86" t="s">
        <v>4</v>
      </c>
      <c r="L18" s="88">
        <f>1.941*E87</f>
        <v>205.94649636091259</v>
      </c>
      <c r="M18" s="86" t="s">
        <v>4</v>
      </c>
      <c r="N18" s="88">
        <f>1.828*E87</f>
        <v>193.95682398132314</v>
      </c>
      <c r="O18" s="86" t="s">
        <v>4</v>
      </c>
      <c r="P18" s="92">
        <f>1.985*E87</f>
        <v>210.61504135827485</v>
      </c>
      <c r="Q18" s="81"/>
      <c r="R18" s="58"/>
      <c r="S18" s="58"/>
      <c r="T18" s="58"/>
    </row>
    <row r="19" spans="2:20">
      <c r="B19" s="27"/>
      <c r="C19" s="48"/>
      <c r="D19" s="48"/>
      <c r="E19" s="97" t="s">
        <v>7</v>
      </c>
      <c r="F19" s="98">
        <f>0.7994*E88</f>
        <v>0.21204743584610189</v>
      </c>
      <c r="G19" s="86" t="s">
        <v>7</v>
      </c>
      <c r="H19" s="83">
        <f>1.372*E88</f>
        <v>0.36393430320346737</v>
      </c>
      <c r="I19" s="86" t="s">
        <v>7</v>
      </c>
      <c r="J19" s="83">
        <f>1.721*E88</f>
        <v>0.45650942843525311</v>
      </c>
      <c r="K19" s="86" t="s">
        <v>7</v>
      </c>
      <c r="L19" s="83">
        <f>1.622*E88</f>
        <v>0.43024886282509039</v>
      </c>
      <c r="M19" s="86" t="s">
        <v>7</v>
      </c>
      <c r="N19" s="83">
        <f>1.808*E88</f>
        <v>0.47958689518357794</v>
      </c>
      <c r="O19" s="86" t="s">
        <v>7</v>
      </c>
      <c r="P19" s="87">
        <f>1.677*E88</f>
        <v>0.44483806594184744</v>
      </c>
      <c r="Q19" s="106"/>
      <c r="R19" s="58"/>
      <c r="S19" s="58"/>
      <c r="T19" s="58"/>
    </row>
    <row r="20" spans="2:20">
      <c r="B20" s="27"/>
      <c r="C20" s="48"/>
      <c r="D20" s="48"/>
      <c r="E20" s="48"/>
      <c r="F20" s="48"/>
      <c r="G20" s="97" t="s">
        <v>8</v>
      </c>
      <c r="H20" s="110">
        <f>H16</f>
        <v>103.2597270780217</v>
      </c>
      <c r="I20" s="86" t="s">
        <v>8</v>
      </c>
      <c r="J20" s="88">
        <f>1.478*E87</f>
        <v>156.8206705932142</v>
      </c>
      <c r="K20" s="86" t="s">
        <v>8</v>
      </c>
      <c r="L20" s="88">
        <f>1.941*E87</f>
        <v>205.94649636091259</v>
      </c>
      <c r="M20" s="86" t="s">
        <v>8</v>
      </c>
      <c r="N20" s="88">
        <f>1.808*E87</f>
        <v>191.8347580734312</v>
      </c>
      <c r="O20" s="86" t="s">
        <v>8</v>
      </c>
      <c r="P20" s="92">
        <f>2.066*E87</f>
        <v>219.20940828523717</v>
      </c>
      <c r="Q20" s="81"/>
      <c r="R20" s="58"/>
      <c r="S20" s="58"/>
      <c r="T20" s="58"/>
    </row>
    <row r="21" spans="2:20">
      <c r="B21" s="27"/>
      <c r="C21" s="48"/>
      <c r="D21" s="48"/>
      <c r="E21" s="48"/>
      <c r="F21" s="48"/>
      <c r="G21" s="48"/>
      <c r="H21" s="48"/>
      <c r="I21" s="97" t="s">
        <v>10</v>
      </c>
      <c r="J21" s="98">
        <f>0.8989*E88</f>
        <v>0.23844063057550785</v>
      </c>
      <c r="K21" s="86" t="s">
        <v>10</v>
      </c>
      <c r="L21" s="83">
        <f>1.437*E88</f>
        <v>0.38117608870508934</v>
      </c>
      <c r="M21" s="86" t="s">
        <v>10</v>
      </c>
      <c r="N21" s="83">
        <f>1.828*E88</f>
        <v>0.48489205995330781</v>
      </c>
      <c r="O21" s="86" t="s">
        <v>10</v>
      </c>
      <c r="P21" s="87">
        <f>1.677*E88</f>
        <v>0.44483806594184744</v>
      </c>
      <c r="Q21" s="106"/>
      <c r="R21" s="58"/>
      <c r="S21" s="58"/>
      <c r="T21" s="58"/>
    </row>
    <row r="22" spans="2:20">
      <c r="B22" s="27"/>
      <c r="C22" s="48"/>
      <c r="D22" s="48"/>
      <c r="E22" s="48"/>
      <c r="F22" s="48"/>
      <c r="G22" s="48"/>
      <c r="H22" s="48"/>
      <c r="I22" s="48"/>
      <c r="J22" s="48"/>
      <c r="K22" s="97" t="s">
        <v>11</v>
      </c>
      <c r="L22" s="110">
        <f>1.01*E87</f>
        <v>107.16432834854287</v>
      </c>
      <c r="M22" s="86" t="s">
        <v>11</v>
      </c>
      <c r="N22" s="88">
        <f>1.507*E87</f>
        <v>159.89766615965752</v>
      </c>
      <c r="O22" s="86" t="s">
        <v>11</v>
      </c>
      <c r="P22" s="92">
        <f>1.985*E87</f>
        <v>210.61504135827485</v>
      </c>
      <c r="Q22" s="81"/>
      <c r="R22" s="58"/>
      <c r="S22" s="58"/>
      <c r="T22" s="58"/>
    </row>
    <row r="23" spans="2:20">
      <c r="B23" s="27"/>
      <c r="C23" s="48"/>
      <c r="D23" s="48"/>
      <c r="E23" s="48"/>
      <c r="F23" s="58"/>
      <c r="G23" s="39"/>
      <c r="H23" s="39" t="s">
        <v>83</v>
      </c>
      <c r="I23" s="48"/>
      <c r="J23" s="48"/>
      <c r="K23" s="48"/>
      <c r="L23" s="48"/>
      <c r="M23" s="97" t="s">
        <v>12</v>
      </c>
      <c r="N23" s="98">
        <f>0.943*E88</f>
        <v>0.25013851889276212</v>
      </c>
      <c r="O23" s="86" t="s">
        <v>12</v>
      </c>
      <c r="P23" s="87">
        <f>1.462*E88</f>
        <v>0.38780754466725159</v>
      </c>
      <c r="Q23" s="106"/>
      <c r="R23" s="58"/>
      <c r="S23" s="58"/>
      <c r="T23" s="58"/>
    </row>
    <row r="24" spans="2:20" ht="15" thickBot="1">
      <c r="B24" s="17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3"/>
      <c r="O24" s="100" t="s">
        <v>38</v>
      </c>
      <c r="P24" s="117">
        <f>1.025*E87</f>
        <v>108.75587777946181</v>
      </c>
      <c r="Q24" s="81"/>
      <c r="R24" s="58"/>
      <c r="S24" s="58"/>
      <c r="T24" s="58"/>
    </row>
    <row r="25" spans="2:20" ht="15.6" thickTop="1" thickBot="1"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58"/>
      <c r="S25" s="58"/>
      <c r="T25" s="58"/>
    </row>
    <row r="26" spans="2:20" ht="15" thickTop="1">
      <c r="B26" s="16"/>
      <c r="C26" s="12" t="s">
        <v>31</v>
      </c>
      <c r="D26" s="14"/>
      <c r="E26" s="12" t="s">
        <v>32</v>
      </c>
      <c r="F26" s="14"/>
      <c r="G26" s="12" t="s">
        <v>33</v>
      </c>
      <c r="H26" s="13"/>
      <c r="I26" s="14" t="s">
        <v>34</v>
      </c>
      <c r="J26" s="14"/>
      <c r="K26" s="12" t="s">
        <v>35</v>
      </c>
      <c r="L26" s="13"/>
      <c r="M26" s="19" t="s">
        <v>36</v>
      </c>
      <c r="N26" s="13"/>
      <c r="O26" s="18" t="s">
        <v>37</v>
      </c>
      <c r="P26" s="108"/>
      <c r="Q26" s="46"/>
      <c r="R26" s="58"/>
      <c r="S26" s="58"/>
      <c r="T26" s="58"/>
    </row>
    <row r="27" spans="2:20">
      <c r="B27" s="15" t="s">
        <v>1</v>
      </c>
      <c r="C27" s="80" t="s">
        <v>22</v>
      </c>
      <c r="D27" s="106">
        <f>0.8533*E88</f>
        <v>0.22634485490052381</v>
      </c>
      <c r="E27" s="80" t="s">
        <v>22</v>
      </c>
      <c r="F27" s="106">
        <f>0.7994*E88</f>
        <v>0.21204743584610189</v>
      </c>
      <c r="G27" s="80" t="s">
        <v>22</v>
      </c>
      <c r="H27" s="106">
        <f>0.9732*E88</f>
        <v>0.25814931769505423</v>
      </c>
      <c r="I27" s="80" t="s">
        <v>22</v>
      </c>
      <c r="J27" s="106">
        <f>0.8989*E88</f>
        <v>0.23844063057550785</v>
      </c>
      <c r="K27" s="80" t="s">
        <v>22</v>
      </c>
      <c r="L27" s="123">
        <f>1.01*E88</f>
        <v>0.26791082087135715</v>
      </c>
      <c r="M27" s="80" t="s">
        <v>22</v>
      </c>
      <c r="N27" s="123">
        <f>0.943*E88</f>
        <v>0.25013851889276212</v>
      </c>
      <c r="O27" s="50" t="s">
        <v>22</v>
      </c>
      <c r="P27" s="109">
        <f>1.025*E88</f>
        <v>0.27188969444865452</v>
      </c>
      <c r="Q27" s="106"/>
      <c r="R27" s="58"/>
      <c r="S27" s="58"/>
      <c r="T27" s="58"/>
    </row>
    <row r="28" spans="2:20">
      <c r="B28" s="15"/>
      <c r="C28" s="86" t="s">
        <v>23</v>
      </c>
      <c r="D28" s="90">
        <f>1.1036*E87</f>
        <v>117.09559679747713</v>
      </c>
      <c r="E28" s="86" t="s">
        <v>23</v>
      </c>
      <c r="F28" s="90">
        <f>1.354*E87</f>
        <v>143.66386196428422</v>
      </c>
      <c r="G28" s="86" t="s">
        <v>23</v>
      </c>
      <c r="H28" s="90">
        <f>1.372*E87</f>
        <v>145.57372128138695</v>
      </c>
      <c r="I28" s="86" t="s">
        <v>23</v>
      </c>
      <c r="J28" s="90">
        <f>1.478*E87</f>
        <v>156.8206705932142</v>
      </c>
      <c r="K28" s="86" t="s">
        <v>23</v>
      </c>
      <c r="L28" s="88">
        <f>1.437*E87</f>
        <v>152.47043548203575</v>
      </c>
      <c r="M28" s="86" t="s">
        <v>23</v>
      </c>
      <c r="N28" s="88">
        <f>1.507*E87</f>
        <v>159.89766615965752</v>
      </c>
      <c r="O28" s="91" t="s">
        <v>23</v>
      </c>
      <c r="P28" s="92">
        <f>1.462*E87</f>
        <v>155.12301786690065</v>
      </c>
      <c r="Q28" s="81"/>
      <c r="R28" s="58"/>
      <c r="S28" s="58"/>
      <c r="T28" s="58"/>
    </row>
    <row r="29" spans="2:20">
      <c r="B29" s="27"/>
      <c r="C29" s="97" t="s">
        <v>24</v>
      </c>
      <c r="D29" s="98">
        <f>D27</f>
        <v>0.22634485490052381</v>
      </c>
      <c r="E29" s="91" t="s">
        <v>24</v>
      </c>
      <c r="F29" s="85">
        <f>1.354*E88</f>
        <v>0.3591596549107105</v>
      </c>
      <c r="G29" s="91" t="s">
        <v>24</v>
      </c>
      <c r="H29" s="85">
        <f>1.803*E88</f>
        <v>0.47826060399114545</v>
      </c>
      <c r="I29" s="86" t="s">
        <v>24</v>
      </c>
      <c r="J29" s="85">
        <f>1.721*E88</f>
        <v>0.45650942843525311</v>
      </c>
      <c r="K29" s="86" t="s">
        <v>24</v>
      </c>
      <c r="L29" s="83">
        <f>1.941*E88</f>
        <v>0.51486624090228139</v>
      </c>
      <c r="M29" s="86" t="s">
        <v>24</v>
      </c>
      <c r="N29" s="83">
        <f>1.828*E88</f>
        <v>0.48489205995330781</v>
      </c>
      <c r="O29" s="91" t="s">
        <v>24</v>
      </c>
      <c r="P29" s="87">
        <f>1.985*E88</f>
        <v>0.52653760339568711</v>
      </c>
      <c r="Q29" s="106"/>
      <c r="R29" s="58"/>
      <c r="S29" s="58"/>
      <c r="T29" s="58"/>
    </row>
    <row r="30" spans="2:20">
      <c r="B30" s="27"/>
      <c r="C30" s="48"/>
      <c r="D30" s="48"/>
      <c r="E30" s="99" t="s">
        <v>25</v>
      </c>
      <c r="F30" s="110">
        <f>0.7994*E87</f>
        <v>84.818974338440754</v>
      </c>
      <c r="G30" s="91" t="s">
        <v>25</v>
      </c>
      <c r="H30" s="90">
        <f>1.372*E87</f>
        <v>145.57372128138695</v>
      </c>
      <c r="I30" s="86" t="s">
        <v>25</v>
      </c>
      <c r="J30" s="90">
        <f>1.721*E87</f>
        <v>182.60377137410129</v>
      </c>
      <c r="K30" s="86" t="s">
        <v>25</v>
      </c>
      <c r="L30" s="88">
        <f>1.622*E87</f>
        <v>172.09954513003618</v>
      </c>
      <c r="M30" s="86" t="s">
        <v>25</v>
      </c>
      <c r="N30" s="88">
        <f>1.808*E87</f>
        <v>191.8347580734312</v>
      </c>
      <c r="O30" s="91" t="s">
        <v>25</v>
      </c>
      <c r="P30" s="92">
        <f>1.677*E87</f>
        <v>177.935226376739</v>
      </c>
      <c r="Q30" s="81"/>
      <c r="R30" s="58"/>
      <c r="S30" s="58"/>
      <c r="T30" s="58"/>
    </row>
    <row r="31" spans="2:20">
      <c r="B31" s="27"/>
      <c r="C31" s="48"/>
      <c r="D31" s="48"/>
      <c r="E31" s="48"/>
      <c r="F31" s="48"/>
      <c r="G31" s="99" t="s">
        <v>26</v>
      </c>
      <c r="H31" s="98">
        <f>0.9732*E88</f>
        <v>0.25814931769505423</v>
      </c>
      <c r="I31" s="86" t="s">
        <v>26</v>
      </c>
      <c r="J31" s="85">
        <f>1.478*E88</f>
        <v>0.39205167648303552</v>
      </c>
      <c r="K31" s="86" t="s">
        <v>26</v>
      </c>
      <c r="L31" s="83">
        <f>1.941*E88</f>
        <v>0.51486624090228139</v>
      </c>
      <c r="M31" s="86" t="s">
        <v>26</v>
      </c>
      <c r="N31" s="83">
        <f>1.808*E88</f>
        <v>0.47958689518357794</v>
      </c>
      <c r="O31" s="91" t="s">
        <v>26</v>
      </c>
      <c r="P31" s="87">
        <f>2.066*E88</f>
        <v>0.5480235207130929</v>
      </c>
      <c r="Q31" s="106"/>
      <c r="R31" s="58"/>
      <c r="S31" s="58"/>
      <c r="T31" s="58"/>
    </row>
    <row r="32" spans="2:20">
      <c r="B32" s="27"/>
      <c r="C32" s="48"/>
      <c r="D32" s="48"/>
      <c r="E32" s="48"/>
      <c r="F32" s="48"/>
      <c r="G32" s="48"/>
      <c r="H32" s="48"/>
      <c r="I32" s="97" t="s">
        <v>27</v>
      </c>
      <c r="J32" s="110">
        <f>0.8989*E87</f>
        <v>95.37625223020315</v>
      </c>
      <c r="K32" s="86" t="s">
        <v>27</v>
      </c>
      <c r="L32" s="88">
        <f>1.437*E87</f>
        <v>152.47043548203575</v>
      </c>
      <c r="M32" s="86" t="s">
        <v>27</v>
      </c>
      <c r="N32" s="88">
        <f>1.828*E87</f>
        <v>193.95682398132314</v>
      </c>
      <c r="O32" s="91" t="s">
        <v>27</v>
      </c>
      <c r="P32" s="92">
        <f>1.677*E87</f>
        <v>177.935226376739</v>
      </c>
      <c r="Q32" s="81"/>
      <c r="R32" s="58"/>
      <c r="S32" s="58"/>
      <c r="T32" s="58"/>
    </row>
    <row r="33" spans="2:20">
      <c r="B33" s="27"/>
      <c r="C33" s="48"/>
      <c r="D33" s="48"/>
      <c r="E33" s="48"/>
      <c r="F33" s="48"/>
      <c r="G33" s="48"/>
      <c r="H33" s="48"/>
      <c r="I33" s="48"/>
      <c r="J33" s="48"/>
      <c r="K33" s="97" t="s">
        <v>28</v>
      </c>
      <c r="L33" s="105">
        <f>1.01*E88</f>
        <v>0.26791082087135715</v>
      </c>
      <c r="M33" s="86" t="s">
        <v>28</v>
      </c>
      <c r="N33" s="83">
        <f>1.507*E88</f>
        <v>0.39974416539914376</v>
      </c>
      <c r="O33" s="91" t="s">
        <v>28</v>
      </c>
      <c r="P33" s="87">
        <f>1.985*E88</f>
        <v>0.52653760339568711</v>
      </c>
      <c r="Q33" s="106"/>
      <c r="R33" s="58"/>
      <c r="S33" s="58"/>
      <c r="T33" s="58"/>
    </row>
    <row r="34" spans="2:20">
      <c r="B34" s="27"/>
      <c r="C34" s="48"/>
      <c r="D34" s="48"/>
      <c r="E34" s="48"/>
      <c r="F34" s="48"/>
      <c r="G34" s="58"/>
      <c r="H34" s="39" t="s">
        <v>44</v>
      </c>
      <c r="I34" s="48"/>
      <c r="J34" s="48"/>
      <c r="K34" s="48"/>
      <c r="L34" s="48"/>
      <c r="M34" s="97" t="s">
        <v>29</v>
      </c>
      <c r="N34" s="115">
        <f>0.943*E87</f>
        <v>100.05540755710487</v>
      </c>
      <c r="O34" s="91" t="s">
        <v>29</v>
      </c>
      <c r="P34" s="92">
        <f>1.462*E87</f>
        <v>155.12301786690065</v>
      </c>
      <c r="Q34" s="81"/>
      <c r="R34" s="58"/>
      <c r="S34" s="58"/>
      <c r="T34" s="58"/>
    </row>
    <row r="35" spans="2:20" ht="15" thickBot="1">
      <c r="B35" s="17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6" t="s">
        <v>30</v>
      </c>
      <c r="P35" s="101">
        <f>1.025*E88</f>
        <v>0.27188969444865452</v>
      </c>
      <c r="Q35" s="106"/>
      <c r="R35" s="58"/>
      <c r="S35" s="58"/>
      <c r="T35" s="58"/>
    </row>
    <row r="36" spans="2:20" ht="15" thickTop="1"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</row>
    <row r="37" spans="2:20"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</row>
    <row r="38" spans="2:20"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</row>
    <row r="86" spans="4:5" ht="15" thickBot="1"/>
    <row r="87" spans="4:5" ht="15" thickTop="1">
      <c r="D87" s="118" t="s">
        <v>5</v>
      </c>
      <c r="E87" s="119">
        <f>(1000000000000/(2*PI()*F5*F7*1000000))</f>
        <v>106.1032953945969</v>
      </c>
    </row>
    <row r="88" spans="4:5" ht="15" thickBot="1">
      <c r="D88" s="72" t="s">
        <v>6</v>
      </c>
      <c r="E88" s="73">
        <f>(F5*1000000/(2*PI()*F7*1000000))*1</f>
        <v>0.26525823848649221</v>
      </c>
    </row>
    <row r="89" spans="4:5" ht="15" thickTop="1"/>
  </sheetData>
  <sheetProtection sheet="1" objects="1" scenarios="1"/>
  <pageMargins left="0.7" right="0.7" top="0.75" bottom="0.75" header="0.3" footer="0.3"/>
  <pageSetup orientation="portrait" horizontalDpi="4294967293" verticalDpi="0" r:id="rId1"/>
  <drawing r:id="rId2"/>
  <picture r:id="rId3"/>
</worksheet>
</file>

<file path=xl/worksheets/sheet13.xml><?xml version="1.0" encoding="utf-8"?>
<worksheet xmlns="http://schemas.openxmlformats.org/spreadsheetml/2006/main" xmlns:r="http://schemas.openxmlformats.org/officeDocument/2006/relationships">
  <dimension ref="B2:S105"/>
  <sheetViews>
    <sheetView showGridLines="0" tabSelected="1" workbookViewId="0">
      <selection activeCell="J90" sqref="J90"/>
    </sheetView>
  </sheetViews>
  <sheetFormatPr defaultRowHeight="14.4"/>
  <cols>
    <col min="1" max="1" width="1.33203125" customWidth="1"/>
    <col min="4" max="4" width="12.6640625" customWidth="1"/>
    <col min="6" max="6" width="11.33203125" customWidth="1"/>
    <col min="8" max="8" width="9.5546875" customWidth="1"/>
    <col min="10" max="10" width="9.44140625" customWidth="1"/>
    <col min="12" max="12" width="9.33203125" customWidth="1"/>
    <col min="14" max="14" width="9.44140625" customWidth="1"/>
    <col min="16" max="16" width="9.44140625" customWidth="1"/>
    <col min="17" max="17" width="2.109375" customWidth="1"/>
    <col min="18" max="18" width="29.33203125" customWidth="1"/>
    <col min="19" max="19" width="5.44140625" customWidth="1"/>
  </cols>
  <sheetData>
    <row r="2" spans="2:19" ht="15" thickBot="1"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</row>
    <row r="3" spans="2:19" ht="18.600000000000001" thickTop="1">
      <c r="B3" s="58"/>
      <c r="C3" s="1" t="s">
        <v>199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16" t="s">
        <v>215</v>
      </c>
      <c r="S3" s="108"/>
    </row>
    <row r="4" spans="2:19" ht="15" thickBot="1"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27" t="s">
        <v>234</v>
      </c>
      <c r="S4" s="28"/>
    </row>
    <row r="5" spans="2:19" ht="15" thickTop="1">
      <c r="B5" s="16" t="s">
        <v>100</v>
      </c>
      <c r="C5" s="14"/>
      <c r="D5" s="14"/>
      <c r="E5" s="71">
        <v>50</v>
      </c>
      <c r="F5" s="58"/>
      <c r="G5" s="58"/>
      <c r="H5" s="58"/>
      <c r="K5" s="58"/>
      <c r="L5" s="58"/>
      <c r="M5" s="58"/>
      <c r="N5" s="58"/>
      <c r="O5" s="58"/>
      <c r="P5" s="58"/>
      <c r="Q5" s="58"/>
      <c r="R5" s="27" t="s">
        <v>74</v>
      </c>
      <c r="S5" s="28"/>
    </row>
    <row r="6" spans="2:19">
      <c r="B6" s="31" t="s">
        <v>75</v>
      </c>
      <c r="C6" s="32"/>
      <c r="D6" s="32"/>
      <c r="E6" s="74">
        <v>14</v>
      </c>
      <c r="F6" s="58"/>
      <c r="G6" s="58"/>
      <c r="H6" s="58"/>
      <c r="K6" s="58"/>
      <c r="L6" s="58"/>
      <c r="M6" s="58"/>
      <c r="N6" s="58"/>
      <c r="O6" s="58"/>
      <c r="P6" s="58"/>
      <c r="Q6" s="58"/>
      <c r="R6" s="60" t="s">
        <v>200</v>
      </c>
      <c r="S6" s="28"/>
    </row>
    <row r="7" spans="2:19" ht="15" thickBot="1">
      <c r="B7" s="17" t="s">
        <v>73</v>
      </c>
      <c r="C7" s="33"/>
      <c r="D7" s="33"/>
      <c r="E7" s="75">
        <v>5</v>
      </c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29" t="s">
        <v>96</v>
      </c>
      <c r="S7" s="28"/>
    </row>
    <row r="8" spans="2:19" ht="15.6" thickTop="1" thickBot="1"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29" t="s">
        <v>97</v>
      </c>
      <c r="S8" s="28"/>
    </row>
    <row r="9" spans="2:19" ht="15" thickTop="1">
      <c r="B9" s="58"/>
      <c r="C9" s="16"/>
      <c r="D9" s="13" t="s">
        <v>46</v>
      </c>
      <c r="E9" s="14"/>
      <c r="F9" s="14" t="s">
        <v>58</v>
      </c>
      <c r="G9" s="12" t="s">
        <v>60</v>
      </c>
      <c r="H9" s="13"/>
      <c r="I9" s="12" t="s">
        <v>34</v>
      </c>
      <c r="J9" s="13"/>
      <c r="K9" s="12" t="s">
        <v>63</v>
      </c>
      <c r="L9" s="14"/>
      <c r="M9" s="12" t="s">
        <v>62</v>
      </c>
      <c r="N9" s="13"/>
      <c r="O9" s="12" t="s">
        <v>64</v>
      </c>
      <c r="P9" s="14"/>
      <c r="Q9" s="27"/>
      <c r="R9" s="29" t="s">
        <v>102</v>
      </c>
      <c r="S9" s="28"/>
    </row>
    <row r="10" spans="2:19">
      <c r="B10" s="58"/>
      <c r="C10" s="76" t="s">
        <v>2</v>
      </c>
      <c r="D10" s="77">
        <f>(D101*D100)*1000000000000*0.8533</f>
        <v>543.22765238198519</v>
      </c>
      <c r="E10" s="49" t="s">
        <v>2</v>
      </c>
      <c r="F10" s="78">
        <f>0.7994*E90</f>
        <v>508.91384661216335</v>
      </c>
      <c r="G10" s="79" t="s">
        <v>2</v>
      </c>
      <c r="H10" s="77">
        <f>0.9732*E90</f>
        <v>619.55836317607873</v>
      </c>
      <c r="I10" s="79" t="s">
        <v>2</v>
      </c>
      <c r="J10" s="77">
        <f>0.8989*E90</f>
        <v>572.25751403511845</v>
      </c>
      <c r="K10" s="80" t="s">
        <v>2</v>
      </c>
      <c r="L10" s="81">
        <f>1.01*E90</f>
        <v>642.98597082597576</v>
      </c>
      <c r="M10" s="79" t="s">
        <v>2</v>
      </c>
      <c r="N10" s="77">
        <f>0.943*E90</f>
        <v>600.33244602860896</v>
      </c>
      <c r="O10" s="80" t="s">
        <v>2</v>
      </c>
      <c r="P10" s="81">
        <f>1.025*E90</f>
        <v>652.53526742240103</v>
      </c>
      <c r="Q10" s="27"/>
      <c r="R10" s="29" t="s">
        <v>163</v>
      </c>
      <c r="S10" s="28"/>
    </row>
    <row r="11" spans="2:19">
      <c r="B11" s="58"/>
      <c r="C11" s="82" t="s">
        <v>22</v>
      </c>
      <c r="D11" s="83">
        <f>1000000/(4*D96^2*D99^2*D10*0.000000000001)</f>
        <v>0.2457404281537004</v>
      </c>
      <c r="E11" s="84" t="s">
        <v>22</v>
      </c>
      <c r="F11" s="85">
        <f>1000000/(4*D96^2*D99^2*F10*0.000000000001)</f>
        <v>0.26230961639173445</v>
      </c>
      <c r="G11" s="86" t="s">
        <v>22</v>
      </c>
      <c r="H11" s="83">
        <f>1000000/(4*D96^2*D99^2*H10*0.000000000001)</f>
        <v>0.21546476299173092</v>
      </c>
      <c r="I11" s="86" t="s">
        <v>22</v>
      </c>
      <c r="J11" s="83">
        <f>1000000/(4*D96^2*D99^2*J10*0.000000000001)</f>
        <v>0.23327434346818612</v>
      </c>
      <c r="K11" s="86" t="s">
        <v>22</v>
      </c>
      <c r="L11" s="83">
        <f>1000000/(4*D96^2*D99^2*L10*0.000000000001)</f>
        <v>0.20761416568668564</v>
      </c>
      <c r="M11" s="86" t="s">
        <v>22</v>
      </c>
      <c r="N11" s="83">
        <f>1000000/(4*D96^2*D99^2*N10*0.000000000001)</f>
        <v>0.22236511913420207</v>
      </c>
      <c r="O11" s="86" t="s">
        <v>22</v>
      </c>
      <c r="P11" s="87">
        <f>1000000/(4*D96^2*D99^2*P10*0.000000000001)</f>
        <v>0.20457590960346592</v>
      </c>
      <c r="Q11" s="27"/>
      <c r="R11" s="29" t="s">
        <v>139</v>
      </c>
      <c r="S11" s="28"/>
    </row>
    <row r="12" spans="2:19">
      <c r="B12" s="58"/>
      <c r="C12" s="82" t="s">
        <v>59</v>
      </c>
      <c r="D12" s="88">
        <f>1000000000000/(4*D96^2*D99^2*D13*0.000001)</f>
        <v>76.002286097699354</v>
      </c>
      <c r="E12" s="89" t="s">
        <v>23</v>
      </c>
      <c r="F12" s="90">
        <f>1000000000000/(4*D96^2*D99^2*F13*0.000001)</f>
        <v>61.946915020251843</v>
      </c>
      <c r="G12" s="91" t="s">
        <v>23</v>
      </c>
      <c r="H12" s="88">
        <f>1000000000000/(4*D96^2*D99^2*H13*0.000001)</f>
        <v>61.134200391706258</v>
      </c>
      <c r="I12" s="91" t="s">
        <v>23</v>
      </c>
      <c r="J12" s="88">
        <f>1000000000000/(4*D96^2*D99^2*J13*0.000001)</f>
        <v>56.749744883234776</v>
      </c>
      <c r="K12" s="91" t="s">
        <v>23</v>
      </c>
      <c r="L12" s="88">
        <f>L20</f>
        <v>58.368909490202498</v>
      </c>
      <c r="M12" s="91" t="s">
        <v>23</v>
      </c>
      <c r="N12" s="88">
        <f>1000000000000/(4*D96^2*D99^2*N13*0.000001)</f>
        <v>55.657679454161247</v>
      </c>
      <c r="O12" s="91" t="s">
        <v>23</v>
      </c>
      <c r="P12" s="92">
        <f>1000000000000/(4*D96^2*D99^2*P13*0.000001)</f>
        <v>57.370809122722981</v>
      </c>
      <c r="Q12" s="27"/>
      <c r="R12" s="27" t="s">
        <v>176</v>
      </c>
      <c r="S12" s="28"/>
    </row>
    <row r="13" spans="2:19">
      <c r="B13" s="58"/>
      <c r="C13" s="82" t="s">
        <v>3</v>
      </c>
      <c r="D13" s="83">
        <f>1.1036*1000000*(D102*D100)</f>
        <v>1.7564339539691753</v>
      </c>
      <c r="E13" s="89" t="s">
        <v>3</v>
      </c>
      <c r="F13" s="85">
        <f>(1.354/1)*E91</f>
        <v>2.1549579319266616</v>
      </c>
      <c r="G13" s="91" t="s">
        <v>3</v>
      </c>
      <c r="H13" s="83">
        <f>(1.372)*E91</f>
        <v>2.183605821715938</v>
      </c>
      <c r="I13" s="91" t="s">
        <v>3</v>
      </c>
      <c r="J13" s="83">
        <f>(1.478)*E91</f>
        <v>2.3523100615861194</v>
      </c>
      <c r="K13" s="91" t="s">
        <v>3</v>
      </c>
      <c r="L13" s="83">
        <f>(1.437*E91)</f>
        <v>2.2870565348438796</v>
      </c>
      <c r="M13" s="91" t="s">
        <v>3</v>
      </c>
      <c r="N13" s="83">
        <f>(1.507*E91)</f>
        <v>2.3984649951355088</v>
      </c>
      <c r="O13" s="91" t="s">
        <v>3</v>
      </c>
      <c r="P13" s="87">
        <f>1.462*E91</f>
        <v>2.3268452706623184</v>
      </c>
      <c r="Q13" s="27"/>
      <c r="R13" s="27" t="s">
        <v>192</v>
      </c>
      <c r="S13" s="28"/>
    </row>
    <row r="14" spans="2:19">
      <c r="B14" s="58"/>
      <c r="C14" s="82" t="s">
        <v>4</v>
      </c>
      <c r="D14" s="88">
        <f>D10</f>
        <v>543.22765238198519</v>
      </c>
      <c r="E14" s="89" t="s">
        <v>4</v>
      </c>
      <c r="F14" s="90">
        <f>1.354*E90</f>
        <v>861.98317277066462</v>
      </c>
      <c r="G14" s="91" t="s">
        <v>4</v>
      </c>
      <c r="H14" s="88">
        <f>1.803*E90</f>
        <v>1147.825450890331</v>
      </c>
      <c r="I14" s="91" t="s">
        <v>4</v>
      </c>
      <c r="J14" s="88">
        <f>1.721*E90</f>
        <v>1095.6226294965388</v>
      </c>
      <c r="K14" s="91" t="s">
        <v>4</v>
      </c>
      <c r="L14" s="88">
        <f>1.941*E90</f>
        <v>1235.6789795774446</v>
      </c>
      <c r="M14" s="91" t="s">
        <v>4</v>
      </c>
      <c r="N14" s="88">
        <f>1.828*E90</f>
        <v>1163.7409452177067</v>
      </c>
      <c r="O14" s="91" t="s">
        <v>4</v>
      </c>
      <c r="P14" s="92">
        <f>1.985*E90</f>
        <v>1263.6902495936256</v>
      </c>
      <c r="Q14" s="27"/>
      <c r="R14" s="27" t="s">
        <v>210</v>
      </c>
      <c r="S14" s="28"/>
    </row>
    <row r="15" spans="2:19">
      <c r="B15" s="58"/>
      <c r="C15" s="93" t="s">
        <v>56</v>
      </c>
      <c r="D15" s="94">
        <f>D11</f>
        <v>0.2457404281537004</v>
      </c>
      <c r="E15" s="89" t="s">
        <v>24</v>
      </c>
      <c r="F15" s="85">
        <f>1000000/(4*D96^2*D99^2*F14*0.000000000001)</f>
        <v>0.15486728755062962</v>
      </c>
      <c r="G15" s="91" t="s">
        <v>24</v>
      </c>
      <c r="H15" s="83">
        <f>1000000/(4*D96^2*D99^2*H14*0.000000000001)</f>
        <v>0.11630078055660149</v>
      </c>
      <c r="I15" s="91" t="s">
        <v>24</v>
      </c>
      <c r="J15" s="83">
        <f>1000000/(4*D96^2*D99^2*J14*0.000000000001)</f>
        <v>0.12184213093756684</v>
      </c>
      <c r="K15" s="91" t="s">
        <v>24</v>
      </c>
      <c r="L15" s="83">
        <f>1000000/(4*D96^2*D99^2*L14*0.000000000001)</f>
        <v>0.1080321006406762</v>
      </c>
      <c r="M15" s="91" t="s">
        <v>24</v>
      </c>
      <c r="N15" s="83">
        <f>1000000/(4*D96^2*D99^2*N14*0.000000000001)</f>
        <v>0.11471023377656045</v>
      </c>
      <c r="O15" s="91" t="s">
        <v>24</v>
      </c>
      <c r="P15" s="87">
        <f>1000000/(4*D96^2*D99^2*P14*0.000000000001)</f>
        <v>0.10563743443000129</v>
      </c>
      <c r="Q15" s="27"/>
      <c r="R15" s="54" t="s">
        <v>216</v>
      </c>
      <c r="S15" s="66"/>
    </row>
    <row r="16" spans="2:19" ht="15" thickBot="1">
      <c r="B16" s="58"/>
      <c r="C16" s="27"/>
      <c r="D16" s="46"/>
      <c r="E16" s="91" t="s">
        <v>25</v>
      </c>
      <c r="F16" s="90">
        <f>1000000000000/(4*D96^2*D99^2*F17*0.000001)</f>
        <v>104.92384655669379</v>
      </c>
      <c r="G16" s="91" t="s">
        <v>25</v>
      </c>
      <c r="H16" s="88">
        <f>H12</f>
        <v>61.134200391706258</v>
      </c>
      <c r="I16" s="91" t="s">
        <v>25</v>
      </c>
      <c r="J16" s="88">
        <f>1000000000000/(4*D96^2*D99^2*J17*0.000001)</f>
        <v>48.736852375026736</v>
      </c>
      <c r="K16" s="91" t="s">
        <v>25</v>
      </c>
      <c r="L16" s="88">
        <f>1000000000000/(4*D96^2*D99^2*L17*0.000001)</f>
        <v>51.711543118015406</v>
      </c>
      <c r="M16" s="91" t="s">
        <v>25</v>
      </c>
      <c r="N16" s="88">
        <f>1000000000000/(4*D96^2*D99^2*N17*0.000001)</f>
        <v>46.391660916715161</v>
      </c>
      <c r="O16" s="91" t="s">
        <v>25</v>
      </c>
      <c r="P16" s="92">
        <f>1000000000000/(4*D96^2*D99^2*P17*0.000001)</f>
        <v>50.015577183912342</v>
      </c>
      <c r="Q16" s="27"/>
      <c r="R16" s="17" t="s">
        <v>225</v>
      </c>
      <c r="S16" s="30"/>
    </row>
    <row r="17" spans="2:19" ht="15" thickTop="1">
      <c r="B17" s="58"/>
      <c r="C17" s="27"/>
      <c r="D17" s="46"/>
      <c r="E17" s="95" t="s">
        <v>7</v>
      </c>
      <c r="F17" s="96">
        <f>0.7994*D102*D100*1000000</f>
        <v>1.2722846165304085</v>
      </c>
      <c r="G17" s="86" t="s">
        <v>7</v>
      </c>
      <c r="H17" s="83">
        <f>H13</f>
        <v>2.183605821715938</v>
      </c>
      <c r="I17" s="86" t="s">
        <v>7</v>
      </c>
      <c r="J17" s="83">
        <f>D102*D100*1000000*1.721</f>
        <v>2.739056573741347</v>
      </c>
      <c r="K17" s="86" t="s">
        <v>7</v>
      </c>
      <c r="L17" s="83">
        <f>1.622*E91</f>
        <v>2.5814931799003289</v>
      </c>
      <c r="M17" s="86" t="s">
        <v>7</v>
      </c>
      <c r="N17" s="83">
        <f>D102*D100*1000000*1.808</f>
        <v>2.8775213743895152</v>
      </c>
      <c r="O17" s="86" t="s">
        <v>7</v>
      </c>
      <c r="P17" s="87">
        <f>D102*D100*1000000*1.677</f>
        <v>2.6690283987008945</v>
      </c>
      <c r="Q17" s="27"/>
      <c r="R17" s="58"/>
      <c r="S17" s="58"/>
    </row>
    <row r="18" spans="2:19">
      <c r="B18" s="58"/>
      <c r="C18" s="27"/>
      <c r="D18" s="46"/>
      <c r="E18" s="46"/>
      <c r="F18" s="46"/>
      <c r="G18" s="86" t="s">
        <v>8</v>
      </c>
      <c r="H18" s="88">
        <f>H10</f>
        <v>619.55836317607873</v>
      </c>
      <c r="I18" s="86" t="s">
        <v>8</v>
      </c>
      <c r="J18" s="88">
        <f>1.478*E90</f>
        <v>940.92402463444762</v>
      </c>
      <c r="K18" s="86" t="s">
        <v>8</v>
      </c>
      <c r="L18" s="88">
        <f>L14</f>
        <v>1235.6789795774446</v>
      </c>
      <c r="M18" s="86" t="s">
        <v>8</v>
      </c>
      <c r="N18" s="88">
        <f>1.808*E90</f>
        <v>1151.0085497558061</v>
      </c>
      <c r="O18" s="86" t="s">
        <v>8</v>
      </c>
      <c r="P18" s="92">
        <f>2.066*E90</f>
        <v>1315.2564512143226</v>
      </c>
      <c r="Q18" s="27"/>
      <c r="R18" s="58"/>
      <c r="S18" s="58"/>
    </row>
    <row r="19" spans="2:19">
      <c r="B19" s="58"/>
      <c r="C19" s="27"/>
      <c r="D19" s="46"/>
      <c r="E19" s="46"/>
      <c r="F19" s="46"/>
      <c r="G19" s="97" t="s">
        <v>26</v>
      </c>
      <c r="H19" s="98">
        <f>H11</f>
        <v>0.21546476299173092</v>
      </c>
      <c r="I19" s="80" t="s">
        <v>26</v>
      </c>
      <c r="J19" s="83">
        <f>1000000/(4*D96^2*D99^2*J18*0.000000000001)</f>
        <v>0.14187436220808697</v>
      </c>
      <c r="K19" s="86" t="s">
        <v>26</v>
      </c>
      <c r="L19" s="83">
        <f>L15</f>
        <v>0.1080321006406762</v>
      </c>
      <c r="M19" s="86" t="s">
        <v>26</v>
      </c>
      <c r="N19" s="83">
        <f>1000000/(4*D96^2*D99^2*N18*0.000000000001)</f>
        <v>0.1159791522917879</v>
      </c>
      <c r="O19" s="86" t="s">
        <v>26</v>
      </c>
      <c r="P19" s="87">
        <f>1000000/(4*D96^2*D99^2*P18*0.000000000001)</f>
        <v>0.10149579251866046</v>
      </c>
      <c r="Q19" s="27"/>
      <c r="R19" s="58"/>
      <c r="S19" s="58"/>
    </row>
    <row r="20" spans="2:19">
      <c r="B20" s="58"/>
      <c r="C20" s="27"/>
      <c r="D20" s="46"/>
      <c r="E20" s="46"/>
      <c r="F20" s="46"/>
      <c r="G20" s="46"/>
      <c r="H20" s="46"/>
      <c r="I20" s="86" t="s">
        <v>27</v>
      </c>
      <c r="J20" s="88">
        <f>1000000000000/(4*D96^2*D99^2*J21*0.000001)</f>
        <v>93.309737387274467</v>
      </c>
      <c r="K20" s="86" t="s">
        <v>27</v>
      </c>
      <c r="L20" s="88">
        <f>1000000000000/(4*D96^2*D99^2*L21*0.000001)</f>
        <v>58.368909490202498</v>
      </c>
      <c r="M20" s="86" t="s">
        <v>27</v>
      </c>
      <c r="N20" s="88">
        <f>1000000000000/(4*D96^2*D99^2*N21*0.000001)</f>
        <v>45.884093510624183</v>
      </c>
      <c r="O20" s="86" t="s">
        <v>27</v>
      </c>
      <c r="P20" s="92">
        <f>P16</f>
        <v>50.015577183912342</v>
      </c>
      <c r="Q20" s="27"/>
      <c r="R20" s="58"/>
      <c r="S20" s="58"/>
    </row>
    <row r="21" spans="2:19">
      <c r="B21" s="58"/>
      <c r="C21" s="27"/>
      <c r="D21" s="46"/>
      <c r="E21" s="46"/>
      <c r="F21" s="46"/>
      <c r="G21" s="46"/>
      <c r="H21" s="46"/>
      <c r="I21" s="97" t="s">
        <v>10</v>
      </c>
      <c r="J21" s="98">
        <f>D102*D100*1000000*0.8989</f>
        <v>1.430643785087796</v>
      </c>
      <c r="K21" s="86" t="s">
        <v>10</v>
      </c>
      <c r="L21" s="83">
        <f>L13</f>
        <v>2.2870565348438796</v>
      </c>
      <c r="M21" s="86" t="s">
        <v>10</v>
      </c>
      <c r="N21" s="83">
        <f>D102*D100*1000000*1.828</f>
        <v>2.9093523630442664</v>
      </c>
      <c r="O21" s="86" t="s">
        <v>10</v>
      </c>
      <c r="P21" s="87">
        <f>P17</f>
        <v>2.6690283987008945</v>
      </c>
      <c r="Q21" s="27"/>
      <c r="R21" s="58"/>
      <c r="S21" s="58"/>
    </row>
    <row r="22" spans="2:19">
      <c r="B22" s="58"/>
      <c r="C22" s="27"/>
      <c r="D22" s="46"/>
      <c r="E22" s="46"/>
      <c r="F22" s="46"/>
      <c r="G22" s="46"/>
      <c r="H22" s="46"/>
      <c r="I22" s="46"/>
      <c r="J22" s="46"/>
      <c r="K22" s="91" t="s">
        <v>11</v>
      </c>
      <c r="L22" s="88">
        <f>L10</f>
        <v>642.98597082597576</v>
      </c>
      <c r="M22" s="91" t="s">
        <v>11</v>
      </c>
      <c r="N22" s="88">
        <f>1.507*E90</f>
        <v>959.38599805420336</v>
      </c>
      <c r="O22" s="91" t="s">
        <v>11</v>
      </c>
      <c r="P22" s="92">
        <f>P14</f>
        <v>1263.6902495936256</v>
      </c>
      <c r="Q22" s="27"/>
      <c r="R22" s="58"/>
      <c r="S22" s="58"/>
    </row>
    <row r="23" spans="2:19">
      <c r="B23" s="58"/>
      <c r="C23" s="27"/>
      <c r="D23" s="46"/>
      <c r="E23" s="46"/>
      <c r="F23" s="46"/>
      <c r="G23" s="46"/>
      <c r="H23" s="46"/>
      <c r="I23" s="46"/>
      <c r="J23" s="46"/>
      <c r="K23" s="99" t="s">
        <v>28</v>
      </c>
      <c r="L23" s="98">
        <f>L11</f>
        <v>0.20761416568668564</v>
      </c>
      <c r="M23" s="91" t="s">
        <v>28</v>
      </c>
      <c r="N23" s="83">
        <f>1000000/(4*D96^2*D99^2*N22*0.000000000001)</f>
        <v>0.13914419863540314</v>
      </c>
      <c r="O23" s="91" t="s">
        <v>28</v>
      </c>
      <c r="P23" s="87">
        <f>P15</f>
        <v>0.10563743443000129</v>
      </c>
      <c r="Q23" s="27"/>
      <c r="R23" s="58"/>
      <c r="S23" s="58"/>
    </row>
    <row r="24" spans="2:19">
      <c r="B24" s="58"/>
      <c r="C24" s="27"/>
      <c r="D24" s="46"/>
      <c r="E24" s="46"/>
      <c r="F24" s="46"/>
      <c r="G24" s="46"/>
      <c r="H24" s="46"/>
      <c r="I24" s="46"/>
      <c r="J24" s="46"/>
      <c r="K24" s="46"/>
      <c r="L24" s="46"/>
      <c r="M24" s="91" t="s">
        <v>29</v>
      </c>
      <c r="N24" s="88">
        <f>1000000000000/(4*D96^2*D99^2*N25*0.000001)</f>
        <v>88.946047653680822</v>
      </c>
      <c r="O24" s="91" t="s">
        <v>29</v>
      </c>
      <c r="P24" s="92">
        <f>P12</f>
        <v>57.370809122722981</v>
      </c>
      <c r="Q24" s="27"/>
      <c r="R24" s="58"/>
      <c r="S24" s="58"/>
    </row>
    <row r="25" spans="2:19">
      <c r="B25" s="58"/>
      <c r="C25" s="27"/>
      <c r="D25" s="46"/>
      <c r="E25" s="46"/>
      <c r="F25" s="46"/>
      <c r="G25" s="46"/>
      <c r="H25" s="46"/>
      <c r="I25" s="46"/>
      <c r="J25" s="46"/>
      <c r="K25" s="46"/>
      <c r="L25" s="46"/>
      <c r="M25" s="99" t="s">
        <v>12</v>
      </c>
      <c r="N25" s="98">
        <f>D100*D102*1000000*0.943</f>
        <v>1.5008311150715226</v>
      </c>
      <c r="O25" s="91" t="s">
        <v>12</v>
      </c>
      <c r="P25" s="87">
        <f>P13</f>
        <v>2.3268452706623184</v>
      </c>
      <c r="Q25" s="27"/>
      <c r="R25" s="58"/>
      <c r="S25" s="58"/>
    </row>
    <row r="26" spans="2:19">
      <c r="B26" s="58"/>
      <c r="C26" s="27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86" t="s">
        <v>38</v>
      </c>
      <c r="P26" s="92">
        <f>P10</f>
        <v>652.53526742240103</v>
      </c>
      <c r="Q26" s="27"/>
      <c r="R26" s="58"/>
      <c r="S26" s="58"/>
    </row>
    <row r="27" spans="2:19" ht="15" thickBot="1">
      <c r="B27" s="58"/>
      <c r="C27" s="17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100" t="s">
        <v>30</v>
      </c>
      <c r="P27" s="101">
        <f>P11</f>
        <v>0.20457590960346592</v>
      </c>
      <c r="Q27" s="27"/>
      <c r="R27" s="58"/>
      <c r="S27" s="58"/>
    </row>
    <row r="28" spans="2:19" ht="15.6" thickTop="1" thickBot="1">
      <c r="B28" s="58"/>
      <c r="C28" s="14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58"/>
      <c r="S28" s="58"/>
    </row>
    <row r="29" spans="2:19" ht="15" thickTop="1">
      <c r="B29" s="58"/>
      <c r="C29" s="16"/>
      <c r="D29" s="14" t="s">
        <v>46</v>
      </c>
      <c r="E29" s="12" t="s">
        <v>67</v>
      </c>
      <c r="F29" s="14"/>
      <c r="G29" s="12" t="s">
        <v>65</v>
      </c>
      <c r="H29" s="14"/>
      <c r="I29" s="12" t="s">
        <v>68</v>
      </c>
      <c r="J29" s="13"/>
      <c r="K29" s="14" t="s">
        <v>69</v>
      </c>
      <c r="L29" s="14"/>
      <c r="M29" s="12" t="s">
        <v>62</v>
      </c>
      <c r="N29" s="13"/>
      <c r="O29" s="14" t="s">
        <v>70</v>
      </c>
      <c r="P29" s="14"/>
      <c r="Q29" s="27"/>
      <c r="R29" s="58"/>
      <c r="S29" s="58"/>
    </row>
    <row r="30" spans="2:19">
      <c r="B30" s="58"/>
      <c r="C30" s="76" t="s">
        <v>2</v>
      </c>
      <c r="D30" s="78">
        <f>1000000000000/(4*D96^2*D99^2*D31*0.000001)</f>
        <v>98.29617126148014</v>
      </c>
      <c r="E30" s="80" t="s">
        <v>2</v>
      </c>
      <c r="F30" s="81">
        <f>F16</f>
        <v>104.92384655669379</v>
      </c>
      <c r="G30" s="80" t="s">
        <v>2</v>
      </c>
      <c r="H30" s="81">
        <f>1000000000000/(4*D96^2*D99^2*H31*0.000001)</f>
        <v>86.185905196692346</v>
      </c>
      <c r="I30" s="79" t="s">
        <v>2</v>
      </c>
      <c r="J30" s="77">
        <f>J20</f>
        <v>93.309737387274467</v>
      </c>
      <c r="K30" s="80" t="s">
        <v>2</v>
      </c>
      <c r="L30" s="81">
        <f>1000000000000/(4*D96^2*D99^2*L31*0.000001)</f>
        <v>83.045666274674261</v>
      </c>
      <c r="M30" s="80" t="s">
        <v>2</v>
      </c>
      <c r="N30" s="102">
        <f>N24</f>
        <v>88.946047653680822</v>
      </c>
      <c r="O30" s="80" t="s">
        <v>2</v>
      </c>
      <c r="P30" s="81">
        <f>1000000000000/(4*D96^2*D99^2*P31*0.000001)</f>
        <v>81.830363841386358</v>
      </c>
      <c r="Q30" s="27"/>
      <c r="R30" s="58"/>
      <c r="S30" s="58"/>
    </row>
    <row r="31" spans="2:19">
      <c r="B31" s="58"/>
      <c r="C31" s="82" t="s">
        <v>22</v>
      </c>
      <c r="D31" s="85">
        <f>0.8533*E91</f>
        <v>1.3580691309549633</v>
      </c>
      <c r="E31" s="86" t="s">
        <v>22</v>
      </c>
      <c r="F31" s="85">
        <f>F17</f>
        <v>1.2722846165304085</v>
      </c>
      <c r="G31" s="86" t="s">
        <v>22</v>
      </c>
      <c r="H31" s="83">
        <f>0.9732*E91</f>
        <v>1.5488959079401972</v>
      </c>
      <c r="I31" s="86" t="s">
        <v>22</v>
      </c>
      <c r="J31" s="83">
        <f>J21</f>
        <v>1.430643785087796</v>
      </c>
      <c r="K31" s="86" t="s">
        <v>22</v>
      </c>
      <c r="L31" s="85">
        <f>1.01*E91</f>
        <v>1.6074649270649395</v>
      </c>
      <c r="M31" s="86" t="s">
        <v>22</v>
      </c>
      <c r="N31" s="83">
        <f>N25</f>
        <v>1.5008311150715226</v>
      </c>
      <c r="O31" s="86" t="s">
        <v>22</v>
      </c>
      <c r="P31" s="87">
        <f>1.025*E91</f>
        <v>1.6313381685560029</v>
      </c>
      <c r="Q31" s="27"/>
      <c r="R31" s="58"/>
      <c r="S31" s="58"/>
    </row>
    <row r="32" spans="2:19">
      <c r="B32" s="58"/>
      <c r="C32" s="82" t="s">
        <v>23</v>
      </c>
      <c r="D32" s="90">
        <f>1.354*E90</f>
        <v>861.98317277066462</v>
      </c>
      <c r="E32" s="86" t="s">
        <v>23</v>
      </c>
      <c r="F32" s="90">
        <f>F14</f>
        <v>861.98317277066462</v>
      </c>
      <c r="G32" s="86" t="s">
        <v>23</v>
      </c>
      <c r="H32" s="88">
        <f>1.372*E90</f>
        <v>873.44232868637505</v>
      </c>
      <c r="I32" s="86" t="s">
        <v>23</v>
      </c>
      <c r="J32" s="88">
        <f>J18</f>
        <v>940.92402463444762</v>
      </c>
      <c r="K32" s="86" t="s">
        <v>23</v>
      </c>
      <c r="L32" s="90">
        <f>1.437*E90</f>
        <v>914.82261393755164</v>
      </c>
      <c r="M32" s="86" t="s">
        <v>23</v>
      </c>
      <c r="N32" s="88">
        <f>N22</f>
        <v>959.38599805420336</v>
      </c>
      <c r="O32" s="86" t="s">
        <v>23</v>
      </c>
      <c r="P32" s="92">
        <f>1.462*E90</f>
        <v>930.73810826492729</v>
      </c>
      <c r="Q32" s="27"/>
      <c r="R32" s="58"/>
      <c r="S32" s="58"/>
    </row>
    <row r="33" spans="2:19">
      <c r="B33" s="58"/>
      <c r="C33" s="103" t="s">
        <v>3</v>
      </c>
      <c r="D33" s="85">
        <f>1000000/(4*D96^2*D99^2*D32*0.000000000001)</f>
        <v>0.15486728755062962</v>
      </c>
      <c r="E33" s="91" t="s">
        <v>3</v>
      </c>
      <c r="F33" s="85">
        <f>F15</f>
        <v>0.15486728755062962</v>
      </c>
      <c r="G33" s="91" t="s">
        <v>3</v>
      </c>
      <c r="H33" s="83">
        <f>1000000/(4*D96^2*D99^2*H32*0.000000000001)</f>
        <v>0.15283550097926565</v>
      </c>
      <c r="I33" s="91" t="s">
        <v>3</v>
      </c>
      <c r="J33" s="83">
        <f>J19</f>
        <v>0.14187436220808697</v>
      </c>
      <c r="K33" s="91" t="s">
        <v>3</v>
      </c>
      <c r="L33" s="85">
        <f>1000000/(4*D96^2*D99^2*L32*0.000000000001)</f>
        <v>0.14592227372550626</v>
      </c>
      <c r="M33" s="91" t="s">
        <v>3</v>
      </c>
      <c r="N33" s="83">
        <f>N23</f>
        <v>0.13914419863540314</v>
      </c>
      <c r="O33" s="91" t="s">
        <v>3</v>
      </c>
      <c r="P33" s="87">
        <f>1000000/(4*D96^2*D99^2*P32*0.000000000001)</f>
        <v>0.14342702280680747</v>
      </c>
      <c r="Q33" s="27"/>
      <c r="R33" s="58"/>
      <c r="S33" s="58"/>
    </row>
    <row r="34" spans="2:19">
      <c r="B34" s="58"/>
      <c r="C34" s="103" t="s">
        <v>4</v>
      </c>
      <c r="D34" s="90">
        <f>D30</f>
        <v>98.29617126148014</v>
      </c>
      <c r="E34" s="91" t="s">
        <v>4</v>
      </c>
      <c r="F34" s="90">
        <f>F12</f>
        <v>61.946915020251843</v>
      </c>
      <c r="G34" s="91" t="s">
        <v>4</v>
      </c>
      <c r="H34" s="88">
        <f>1000000000000/(4*D99^2*D96^2*H35*0.000001)</f>
        <v>46.520312222640598</v>
      </c>
      <c r="I34" s="91" t="s">
        <v>4</v>
      </c>
      <c r="J34" s="88">
        <f>J16</f>
        <v>48.736852375026736</v>
      </c>
      <c r="K34" s="91" t="s">
        <v>4</v>
      </c>
      <c r="L34" s="90">
        <f>1000000000000/(4*D96^2*D99^2*L35*0.000001)</f>
        <v>43.212840256270482</v>
      </c>
      <c r="M34" s="91" t="s">
        <v>4</v>
      </c>
      <c r="N34" s="88">
        <f>N20</f>
        <v>45.884093510624183</v>
      </c>
      <c r="O34" s="91" t="s">
        <v>4</v>
      </c>
      <c r="P34" s="92">
        <f>1000000000000/(4*D96^2*D99^2*P35*0.000001)</f>
        <v>42.254973772000497</v>
      </c>
      <c r="Q34" s="27"/>
      <c r="R34" s="58"/>
      <c r="S34" s="58"/>
    </row>
    <row r="35" spans="2:19">
      <c r="B35" s="58"/>
      <c r="C35" s="104" t="s">
        <v>24</v>
      </c>
      <c r="D35" s="94">
        <f>D31</f>
        <v>1.3580691309549633</v>
      </c>
      <c r="E35" s="91" t="s">
        <v>24</v>
      </c>
      <c r="F35" s="85">
        <f>F13</f>
        <v>2.1549579319266616</v>
      </c>
      <c r="G35" s="91" t="s">
        <v>24</v>
      </c>
      <c r="H35" s="83">
        <f>1.803*E91</f>
        <v>2.8695636272258276</v>
      </c>
      <c r="I35" s="91" t="s">
        <v>24</v>
      </c>
      <c r="J35" s="83">
        <f>J17</f>
        <v>2.739056573741347</v>
      </c>
      <c r="K35" s="91" t="s">
        <v>24</v>
      </c>
      <c r="L35" s="85">
        <f>1.941*E91</f>
        <v>3.0891974489436116</v>
      </c>
      <c r="M35" s="91" t="s">
        <v>24</v>
      </c>
      <c r="N35" s="83">
        <f>N21</f>
        <v>2.9093523630442664</v>
      </c>
      <c r="O35" s="91" t="s">
        <v>24</v>
      </c>
      <c r="P35" s="87">
        <f>1.985*E91</f>
        <v>3.1592256239840646</v>
      </c>
      <c r="Q35" s="27"/>
      <c r="R35" s="58"/>
      <c r="S35" s="58"/>
    </row>
    <row r="36" spans="2:19">
      <c r="B36" s="58"/>
      <c r="C36" s="27"/>
      <c r="D36" s="46"/>
      <c r="E36" s="86" t="s">
        <v>25</v>
      </c>
      <c r="F36" s="90">
        <f>F10</f>
        <v>508.91384661216335</v>
      </c>
      <c r="G36" s="86" t="s">
        <v>25</v>
      </c>
      <c r="H36" s="88">
        <f>H32</f>
        <v>873.44232868637505</v>
      </c>
      <c r="I36" s="86" t="s">
        <v>25</v>
      </c>
      <c r="J36" s="88">
        <f>J14</f>
        <v>1095.6226294965388</v>
      </c>
      <c r="K36" s="86" t="s">
        <v>25</v>
      </c>
      <c r="L36" s="90">
        <f>1.622*E90</f>
        <v>1032.5972719601314</v>
      </c>
      <c r="M36" s="86" t="s">
        <v>25</v>
      </c>
      <c r="N36" s="88">
        <f>N18</f>
        <v>1151.0085497558061</v>
      </c>
      <c r="O36" s="86" t="s">
        <v>25</v>
      </c>
      <c r="P36" s="92">
        <f>1.677*E90</f>
        <v>1067.6113594803578</v>
      </c>
      <c r="Q36" s="27"/>
      <c r="R36" s="58"/>
      <c r="S36" s="58"/>
    </row>
    <row r="37" spans="2:19">
      <c r="B37" s="58"/>
      <c r="C37" s="27"/>
      <c r="D37" s="46"/>
      <c r="E37" s="97" t="s">
        <v>7</v>
      </c>
      <c r="F37" s="105">
        <f>F11</f>
        <v>0.26230961639173445</v>
      </c>
      <c r="G37" s="80" t="s">
        <v>66</v>
      </c>
      <c r="H37" s="106">
        <f>1000000/(4*D96^2*D99^2*H36*0.000000000001)</f>
        <v>0.15283550097926565</v>
      </c>
      <c r="I37" s="86" t="s">
        <v>7</v>
      </c>
      <c r="J37" s="83">
        <f>J15</f>
        <v>0.12184213093756684</v>
      </c>
      <c r="K37" s="86" t="s">
        <v>7</v>
      </c>
      <c r="L37" s="85">
        <f>1000000/(4*D96^2*D99^2*L36*0.000000000001)</f>
        <v>0.12927885779503856</v>
      </c>
      <c r="M37" s="86" t="s">
        <v>7</v>
      </c>
      <c r="N37" s="83">
        <f>N19</f>
        <v>0.1159791522917879</v>
      </c>
      <c r="O37" s="86" t="s">
        <v>7</v>
      </c>
      <c r="P37" s="87">
        <f>1000000/(4*D96^2*D99^2*P36*0.000000000001)</f>
        <v>0.12503894295978085</v>
      </c>
      <c r="Q37" s="27"/>
      <c r="R37" s="58"/>
      <c r="S37" s="58"/>
    </row>
    <row r="38" spans="2:19">
      <c r="B38" s="58"/>
      <c r="C38" s="27"/>
      <c r="D38" s="58"/>
      <c r="E38" s="58"/>
      <c r="F38" s="58"/>
      <c r="G38" s="86" t="s">
        <v>8</v>
      </c>
      <c r="H38" s="88">
        <f>H30</f>
        <v>86.185905196692346</v>
      </c>
      <c r="I38" s="86" t="s">
        <v>8</v>
      </c>
      <c r="J38" s="88">
        <f>J12</f>
        <v>56.749744883234776</v>
      </c>
      <c r="K38" s="86" t="s">
        <v>8</v>
      </c>
      <c r="L38" s="90">
        <f>1000000000000/(4*D96^2*D99^2*L39*0.000001)</f>
        <v>43.212840256270482</v>
      </c>
      <c r="M38" s="86" t="s">
        <v>8</v>
      </c>
      <c r="N38" s="88">
        <f>N16</f>
        <v>46.391660916715161</v>
      </c>
      <c r="O38" s="86" t="s">
        <v>8</v>
      </c>
      <c r="P38" s="92">
        <f>1000000000000/(4*D96^2*D99^2*P39*0.000001)</f>
        <v>40.598317007464189</v>
      </c>
      <c r="Q38" s="27"/>
      <c r="R38" s="58"/>
      <c r="S38" s="58"/>
    </row>
    <row r="39" spans="2:19">
      <c r="B39" s="58"/>
      <c r="C39" s="27"/>
      <c r="D39" s="58"/>
      <c r="E39" s="58"/>
      <c r="F39" s="58"/>
      <c r="G39" s="97" t="s">
        <v>26</v>
      </c>
      <c r="H39" s="105">
        <f>H31</f>
        <v>1.5488959079401972</v>
      </c>
      <c r="I39" s="86" t="s">
        <v>26</v>
      </c>
      <c r="J39" s="83">
        <f>J13</f>
        <v>2.3523100615861194</v>
      </c>
      <c r="K39" s="86" t="s">
        <v>26</v>
      </c>
      <c r="L39" s="85">
        <f>L35</f>
        <v>3.0891974489436116</v>
      </c>
      <c r="M39" s="86" t="s">
        <v>26</v>
      </c>
      <c r="N39" s="83">
        <f>N17</f>
        <v>2.8775213743895152</v>
      </c>
      <c r="O39" s="86" t="s">
        <v>26</v>
      </c>
      <c r="P39" s="87">
        <f>2.066*E91</f>
        <v>3.2881411280358068</v>
      </c>
      <c r="Q39" s="27"/>
      <c r="R39" s="58"/>
      <c r="S39" s="58"/>
    </row>
    <row r="40" spans="2:19">
      <c r="B40" s="58"/>
      <c r="C40" s="27"/>
      <c r="D40" s="58"/>
      <c r="E40" s="58"/>
      <c r="F40" s="58"/>
      <c r="G40" s="58"/>
      <c r="H40" s="58"/>
      <c r="I40" s="86" t="s">
        <v>27</v>
      </c>
      <c r="J40" s="88">
        <f>J10</f>
        <v>572.25751403511845</v>
      </c>
      <c r="K40" s="86" t="s">
        <v>27</v>
      </c>
      <c r="L40" s="90">
        <f>L32</f>
        <v>914.82261393755164</v>
      </c>
      <c r="M40" s="86" t="s">
        <v>27</v>
      </c>
      <c r="N40" s="88">
        <f>N14</f>
        <v>1163.7409452177067</v>
      </c>
      <c r="O40" s="86" t="s">
        <v>27</v>
      </c>
      <c r="P40" s="92">
        <f>P36</f>
        <v>1067.6113594803578</v>
      </c>
      <c r="Q40" s="27"/>
      <c r="R40" s="58"/>
      <c r="S40" s="58"/>
    </row>
    <row r="41" spans="2:19">
      <c r="B41" s="58"/>
      <c r="C41" s="27"/>
      <c r="D41" s="58"/>
      <c r="E41" s="58"/>
      <c r="F41" s="58"/>
      <c r="G41" s="58"/>
      <c r="H41" s="58"/>
      <c r="I41" s="97" t="s">
        <v>10</v>
      </c>
      <c r="J41" s="105">
        <f>J11</f>
        <v>0.23327434346818612</v>
      </c>
      <c r="K41" s="86" t="s">
        <v>10</v>
      </c>
      <c r="L41" s="85">
        <f>L33</f>
        <v>0.14592227372550626</v>
      </c>
      <c r="M41" s="86" t="s">
        <v>10</v>
      </c>
      <c r="N41" s="83">
        <f>N15</f>
        <v>0.11471023377656045</v>
      </c>
      <c r="O41" s="86" t="s">
        <v>10</v>
      </c>
      <c r="P41" s="87">
        <f>P37</f>
        <v>0.12503894295978085</v>
      </c>
      <c r="Q41" s="27"/>
      <c r="R41" s="58"/>
      <c r="S41" s="58"/>
    </row>
    <row r="42" spans="2:19">
      <c r="B42" s="58"/>
      <c r="C42" s="27"/>
      <c r="D42" s="58"/>
      <c r="E42" s="58"/>
      <c r="F42" s="58"/>
      <c r="G42" s="58"/>
      <c r="H42" s="58"/>
      <c r="I42" s="58"/>
      <c r="J42" s="58"/>
      <c r="K42" s="86" t="s">
        <v>11</v>
      </c>
      <c r="L42" s="90">
        <f>L30</f>
        <v>83.045666274674261</v>
      </c>
      <c r="M42" s="86" t="s">
        <v>11</v>
      </c>
      <c r="N42" s="88">
        <f>N12</f>
        <v>55.657679454161247</v>
      </c>
      <c r="O42" s="86" t="s">
        <v>11</v>
      </c>
      <c r="P42" s="92">
        <f>P34</f>
        <v>42.254973772000497</v>
      </c>
      <c r="Q42" s="27"/>
      <c r="R42" s="58"/>
      <c r="S42" s="58"/>
    </row>
    <row r="43" spans="2:19">
      <c r="B43" s="58"/>
      <c r="C43" s="27"/>
      <c r="D43" s="58"/>
      <c r="E43" s="58"/>
      <c r="F43" s="58"/>
      <c r="G43" s="58"/>
      <c r="H43" s="58"/>
      <c r="I43" s="58"/>
      <c r="J43" s="58"/>
      <c r="K43" s="97" t="s">
        <v>28</v>
      </c>
      <c r="L43" s="98">
        <f>L31</f>
        <v>1.6074649270649395</v>
      </c>
      <c r="M43" s="86" t="s">
        <v>28</v>
      </c>
      <c r="N43" s="83">
        <f>N13</f>
        <v>2.3984649951355088</v>
      </c>
      <c r="O43" s="86" t="s">
        <v>28</v>
      </c>
      <c r="P43" s="87">
        <f>P35</f>
        <v>3.1592256239840646</v>
      </c>
      <c r="Q43" s="27"/>
      <c r="R43" s="58"/>
      <c r="S43" s="58"/>
    </row>
    <row r="44" spans="2:19">
      <c r="B44" s="58"/>
      <c r="C44" s="27"/>
      <c r="D44" s="58"/>
      <c r="E44" s="58"/>
      <c r="F44" s="58"/>
      <c r="G44" s="58"/>
      <c r="H44" s="58"/>
      <c r="I44" s="58"/>
      <c r="J44" s="58"/>
      <c r="K44" s="58"/>
      <c r="L44" s="58"/>
      <c r="M44" s="86" t="s">
        <v>29</v>
      </c>
      <c r="N44" s="88">
        <f>N10</f>
        <v>600.33244602860896</v>
      </c>
      <c r="O44" s="86" t="s">
        <v>29</v>
      </c>
      <c r="P44" s="92">
        <f>P32</f>
        <v>930.73810826492729</v>
      </c>
      <c r="Q44" s="27"/>
      <c r="R44" s="58"/>
      <c r="S44" s="58"/>
    </row>
    <row r="45" spans="2:19">
      <c r="B45" s="58"/>
      <c r="C45" s="27"/>
      <c r="D45" s="58"/>
      <c r="E45" s="58"/>
      <c r="F45" s="58"/>
      <c r="G45" s="58"/>
      <c r="H45" s="58"/>
      <c r="I45" s="58"/>
      <c r="J45" s="58"/>
      <c r="K45" s="58"/>
      <c r="L45" s="58"/>
      <c r="M45" s="97" t="s">
        <v>12</v>
      </c>
      <c r="N45" s="105">
        <f>N11</f>
        <v>0.22236511913420207</v>
      </c>
      <c r="O45" s="86" t="s">
        <v>12</v>
      </c>
      <c r="P45" s="87">
        <f>P33</f>
        <v>0.14342702280680747</v>
      </c>
      <c r="Q45" s="27"/>
      <c r="R45" s="58"/>
      <c r="S45" s="58"/>
    </row>
    <row r="46" spans="2:19">
      <c r="B46" s="58"/>
      <c r="C46" s="27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86" t="s">
        <v>38</v>
      </c>
      <c r="P46" s="92">
        <f>P30</f>
        <v>81.830363841386358</v>
      </c>
      <c r="Q46" s="27"/>
      <c r="R46" s="58"/>
      <c r="S46" s="58"/>
    </row>
    <row r="47" spans="2:19" ht="15" thickBot="1">
      <c r="B47" s="58"/>
      <c r="C47" s="17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100" t="s">
        <v>30</v>
      </c>
      <c r="P47" s="107">
        <f>P31</f>
        <v>1.6313381685560029</v>
      </c>
      <c r="Q47" s="27"/>
      <c r="R47" s="58"/>
      <c r="S47" s="58"/>
    </row>
    <row r="48" spans="2:19" ht="15" thickTop="1">
      <c r="B48" s="58"/>
      <c r="C48" s="14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</row>
    <row r="49" spans="2:19">
      <c r="B49" s="58"/>
      <c r="C49" s="46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</row>
    <row r="50" spans="2:19"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</row>
    <row r="51" spans="2:19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</row>
    <row r="52" spans="2:19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</row>
    <row r="53" spans="2:19"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</row>
    <row r="54" spans="2:19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</row>
    <row r="55" spans="2:19"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</row>
    <row r="89" spans="3:5" ht="15" thickBot="1"/>
    <row r="90" spans="3:5" ht="15" thickTop="1">
      <c r="D90" s="69" t="s">
        <v>5</v>
      </c>
      <c r="E90" s="70">
        <f>1000000000000*D101*D100</f>
        <v>636.61977309502549</v>
      </c>
    </row>
    <row r="91" spans="3:5" ht="15" thickBot="1">
      <c r="D91" s="72" t="s">
        <v>6</v>
      </c>
      <c r="E91" s="73">
        <f>1000000*D102*D100</f>
        <v>1.5915494327375639</v>
      </c>
    </row>
    <row r="92" spans="3:5" ht="15" thickTop="1"/>
    <row r="94" spans="3:5">
      <c r="C94" t="s">
        <v>47</v>
      </c>
      <c r="D94">
        <f>1000000*E6</f>
        <v>14000000</v>
      </c>
    </row>
    <row r="95" spans="3:5">
      <c r="C95" t="s">
        <v>48</v>
      </c>
      <c r="D95">
        <f>1000000*E7</f>
        <v>5000000</v>
      </c>
    </row>
    <row r="96" spans="3:5">
      <c r="C96" t="s">
        <v>49</v>
      </c>
      <c r="D96">
        <v>3.1415926500000002</v>
      </c>
    </row>
    <row r="97" spans="3:4">
      <c r="C97" t="s">
        <v>50</v>
      </c>
      <c r="D97">
        <f>D94+D95/2</f>
        <v>16500000</v>
      </c>
    </row>
    <row r="98" spans="3:4">
      <c r="C98" t="s">
        <v>51</v>
      </c>
      <c r="D98">
        <f>D94-D95/2</f>
        <v>11500000</v>
      </c>
    </row>
    <row r="99" spans="3:4">
      <c r="C99" t="s">
        <v>52</v>
      </c>
      <c r="D99">
        <f>(D97*D98)^0.5</f>
        <v>13774977.313955911</v>
      </c>
    </row>
    <row r="100" spans="3:4">
      <c r="C100" t="s">
        <v>53</v>
      </c>
      <c r="D100">
        <f>D99/(D97-D98)</f>
        <v>2.7549954627911819</v>
      </c>
    </row>
    <row r="101" spans="3:4">
      <c r="C101" t="s">
        <v>54</v>
      </c>
      <c r="D101">
        <f>1/(2*D96*D99*E5)</f>
        <v>2.3107833812911033E-10</v>
      </c>
    </row>
    <row r="102" spans="3:4">
      <c r="C102" t="s">
        <v>55</v>
      </c>
      <c r="D102">
        <f>E5/(2*D96*D99)</f>
        <v>5.7769584532277583E-7</v>
      </c>
    </row>
    <row r="104" spans="3:4">
      <c r="C104" t="s">
        <v>61</v>
      </c>
      <c r="D104">
        <f>(4*D96^2*D99^2)</f>
        <v>7491029723307325</v>
      </c>
    </row>
    <row r="105" spans="3:4">
      <c r="C105" t="s">
        <v>71</v>
      </c>
      <c r="D105">
        <f>D104*0.000001</f>
        <v>7491029723.3073244</v>
      </c>
    </row>
  </sheetData>
  <sheetProtection sheet="1" objects="1" scenarios="1"/>
  <pageMargins left="0.7" right="0.7" top="0.75" bottom="0.75" header="0.3" footer="0.3"/>
  <pageSetup orientation="portrait" horizontalDpi="4294967293" verticalDpi="0" r:id="rId1"/>
  <drawing r:id="rId2"/>
  <picture r:id="rId3"/>
</worksheet>
</file>

<file path=xl/worksheets/sheet14.xml><?xml version="1.0" encoding="utf-8"?>
<worksheet xmlns="http://schemas.openxmlformats.org/spreadsheetml/2006/main" xmlns:r="http://schemas.openxmlformats.org/officeDocument/2006/relationships">
  <dimension ref="C2:U95"/>
  <sheetViews>
    <sheetView showGridLines="0" workbookViewId="0">
      <selection activeCell="O23" sqref="O23"/>
    </sheetView>
  </sheetViews>
  <sheetFormatPr defaultRowHeight="14.4"/>
  <cols>
    <col min="1" max="1" width="1.33203125" customWidth="1"/>
    <col min="2" max="2" width="0.6640625" customWidth="1"/>
    <col min="5" max="5" width="13.109375" customWidth="1"/>
    <col min="6" max="6" width="12.6640625" customWidth="1"/>
    <col min="16" max="16" width="9.109375" customWidth="1"/>
    <col min="18" max="18" width="2.44140625" customWidth="1"/>
    <col min="19" max="19" width="34.44140625" customWidth="1"/>
    <col min="21" max="21" width="5.44140625" customWidth="1"/>
  </cols>
  <sheetData>
    <row r="2" spans="3:21" ht="15" thickBot="1"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</row>
    <row r="3" spans="3:21" ht="18.600000000000001" thickTop="1">
      <c r="C3" s="58"/>
      <c r="D3" s="58"/>
      <c r="E3" s="1" t="s">
        <v>235</v>
      </c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63" t="s">
        <v>217</v>
      </c>
      <c r="T3" s="179"/>
      <c r="U3" s="180"/>
    </row>
    <row r="4" spans="3:21">
      <c r="C4" s="58"/>
      <c r="D4" s="58"/>
      <c r="E4" s="58"/>
      <c r="F4" s="58"/>
      <c r="G4" s="58"/>
      <c r="H4" s="58"/>
      <c r="I4" s="58"/>
      <c r="L4" s="58"/>
      <c r="M4" s="58"/>
      <c r="N4" s="58"/>
      <c r="O4" s="58"/>
      <c r="P4" s="58"/>
      <c r="Q4" s="58"/>
      <c r="R4" s="58"/>
      <c r="S4" s="27" t="s">
        <v>220</v>
      </c>
      <c r="T4" s="46"/>
      <c r="U4" s="28"/>
    </row>
    <row r="5" spans="3:21" ht="15" thickBot="1">
      <c r="C5" s="58"/>
      <c r="D5" s="58"/>
      <c r="E5" s="58"/>
      <c r="F5" s="58"/>
      <c r="G5" s="58"/>
      <c r="H5" s="58"/>
      <c r="I5" s="58"/>
      <c r="L5" s="58"/>
      <c r="M5" s="58"/>
      <c r="N5" s="58"/>
      <c r="O5" s="58"/>
      <c r="P5" s="58"/>
      <c r="Q5" s="58"/>
      <c r="R5" s="58"/>
      <c r="S5" s="27" t="s">
        <v>74</v>
      </c>
      <c r="T5" s="46"/>
      <c r="U5" s="28"/>
    </row>
    <row r="6" spans="3:21" ht="15" thickTop="1">
      <c r="C6" s="16" t="s">
        <v>13</v>
      </c>
      <c r="D6" s="14"/>
      <c r="E6" s="14"/>
      <c r="F6" s="120">
        <v>50</v>
      </c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27" t="s">
        <v>201</v>
      </c>
      <c r="T6" s="46"/>
      <c r="U6" s="28"/>
    </row>
    <row r="7" spans="3:21">
      <c r="C7" s="27"/>
      <c r="D7" s="46"/>
      <c r="E7" s="46"/>
      <c r="F7" s="2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29" t="s">
        <v>96</v>
      </c>
      <c r="T7" s="46"/>
      <c r="U7" s="28"/>
    </row>
    <row r="8" spans="3:21" ht="15" thickBot="1">
      <c r="C8" s="17" t="s">
        <v>14</v>
      </c>
      <c r="D8" s="33"/>
      <c r="E8" s="33"/>
      <c r="F8" s="121">
        <v>40</v>
      </c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29" t="s">
        <v>97</v>
      </c>
      <c r="T8" s="46"/>
      <c r="U8" s="28"/>
    </row>
    <row r="9" spans="3:21" ht="15.6" thickTop="1" thickBot="1"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29" t="s">
        <v>102</v>
      </c>
      <c r="T9" s="46"/>
      <c r="U9" s="28"/>
    </row>
    <row r="10" spans="3:21" ht="15" thickTop="1">
      <c r="C10" s="16"/>
      <c r="D10" s="12" t="s">
        <v>15</v>
      </c>
      <c r="E10" s="13"/>
      <c r="F10" s="14" t="s">
        <v>16</v>
      </c>
      <c r="G10" s="14"/>
      <c r="H10" s="12" t="s">
        <v>17</v>
      </c>
      <c r="I10" s="14"/>
      <c r="J10" s="12" t="s">
        <v>18</v>
      </c>
      <c r="K10" s="14"/>
      <c r="L10" s="12" t="s">
        <v>19</v>
      </c>
      <c r="M10" s="13"/>
      <c r="N10" s="14" t="s">
        <v>20</v>
      </c>
      <c r="O10" s="14"/>
      <c r="P10" s="12" t="s">
        <v>21</v>
      </c>
      <c r="Q10" s="108"/>
      <c r="R10" s="58"/>
      <c r="S10" s="29" t="s">
        <v>163</v>
      </c>
      <c r="T10" s="46"/>
      <c r="U10" s="28"/>
    </row>
    <row r="11" spans="3:21">
      <c r="C11" s="15" t="s">
        <v>0</v>
      </c>
      <c r="D11" s="80" t="s">
        <v>22</v>
      </c>
      <c r="E11" s="106">
        <f>(1/0.8533)*F94</f>
        <v>0.23314623094441483</v>
      </c>
      <c r="F11" s="80" t="str">
        <f>D11</f>
        <v>L1 (uh)</v>
      </c>
      <c r="G11" s="106">
        <f>(1/0.7994)*F94</f>
        <v>0.24886624826728693</v>
      </c>
      <c r="H11" s="80" t="str">
        <f>D11</f>
        <v>L1 (uh)</v>
      </c>
      <c r="I11" s="106">
        <f>(1/0.9732)*F94</f>
        <v>0.20442219365481831</v>
      </c>
      <c r="J11" s="80" t="str">
        <f>H11</f>
        <v>L1 (uh)</v>
      </c>
      <c r="K11" s="106">
        <f>(1/0.8989)*F94</f>
        <v>0.22131903311254772</v>
      </c>
      <c r="L11" s="80" t="str">
        <f t="shared" ref="L11:L16" si="0">J11</f>
        <v>L1 (uh)</v>
      </c>
      <c r="M11" s="106">
        <f>(1/1.01)*F94</f>
        <v>0.19697393947016748</v>
      </c>
      <c r="N11" s="80" t="str">
        <f t="shared" ref="N11:N17" si="1">L11</f>
        <v>L1 (uh)</v>
      </c>
      <c r="O11" s="106">
        <f>(1/0.943)*F94</f>
        <v>0.21096890653750708</v>
      </c>
      <c r="P11" s="80" t="str">
        <f t="shared" ref="P11:P18" si="2">N11</f>
        <v>L1 (uh)</v>
      </c>
      <c r="Q11" s="109">
        <f>(1/1.025)*F94</f>
        <v>0.19409139401450651</v>
      </c>
      <c r="R11" s="58"/>
      <c r="S11" s="29" t="s">
        <v>139</v>
      </c>
      <c r="T11" s="46"/>
      <c r="U11" s="28"/>
    </row>
    <row r="12" spans="3:21">
      <c r="C12" s="15" t="s">
        <v>9</v>
      </c>
      <c r="D12" s="86" t="s">
        <v>23</v>
      </c>
      <c r="E12" s="88">
        <f>(1/1.1036)*F93</f>
        <v>72.107168852797827</v>
      </c>
      <c r="F12" s="86" t="str">
        <f>D12</f>
        <v>C2 (pf)</v>
      </c>
      <c r="G12" s="88">
        <f>(1/1.354)*F93</f>
        <v>58.772135558306992</v>
      </c>
      <c r="H12" s="86" t="str">
        <f>D12</f>
        <v>C2 (pf)</v>
      </c>
      <c r="I12" s="88">
        <f>(1/1.372)*F93</f>
        <v>58.001072555355442</v>
      </c>
      <c r="J12" s="86" t="str">
        <f>H12</f>
        <v>C2 (pf)</v>
      </c>
      <c r="K12" s="88">
        <f>(1/1.478)*F93</f>
        <v>53.841320396446328</v>
      </c>
      <c r="L12" s="86" t="str">
        <f t="shared" si="0"/>
        <v>C2 (pf)</v>
      </c>
      <c r="M12" s="88">
        <f>(1/1.437)*F93</f>
        <v>55.377502815551615</v>
      </c>
      <c r="N12" s="86" t="str">
        <f t="shared" si="1"/>
        <v>C2 (pf)</v>
      </c>
      <c r="O12" s="88">
        <f>(1/1.507)*F93</f>
        <v>52.805223321796731</v>
      </c>
      <c r="P12" s="86" t="str">
        <f t="shared" si="2"/>
        <v>C2 (pf)</v>
      </c>
      <c r="Q12" s="92">
        <f>(1/1.462)*F93</f>
        <v>54.430555092987468</v>
      </c>
      <c r="R12" s="58"/>
      <c r="S12" s="29" t="s">
        <v>176</v>
      </c>
      <c r="T12" s="46"/>
      <c r="U12" s="28"/>
    </row>
    <row r="13" spans="3:21">
      <c r="C13" s="15"/>
      <c r="D13" s="97" t="s">
        <v>24</v>
      </c>
      <c r="E13" s="98">
        <f>E11</f>
        <v>0.23314623094441483</v>
      </c>
      <c r="F13" s="86" t="str">
        <f>D13</f>
        <v>L3 (uh)</v>
      </c>
      <c r="G13" s="83">
        <f>(1/1.354)*F94</f>
        <v>0.14693033889576745</v>
      </c>
      <c r="H13" s="86" t="str">
        <f>D13</f>
        <v>L3 (uh)</v>
      </c>
      <c r="I13" s="83">
        <f>(1/1.803)*F94</f>
        <v>0.11034036542699345</v>
      </c>
      <c r="J13" s="86" t="str">
        <f>H13</f>
        <v>L3 (uh)</v>
      </c>
      <c r="K13" s="83">
        <f>(1/1.721)*F94</f>
        <v>0.11559772159492687</v>
      </c>
      <c r="L13" s="86" t="str">
        <f t="shared" si="0"/>
        <v>L3 (uh)</v>
      </c>
      <c r="M13" s="83">
        <f>(1/1.941)*F94</f>
        <v>0.10249545536572341</v>
      </c>
      <c r="N13" s="86" t="str">
        <f t="shared" si="1"/>
        <v>L3 (uh)</v>
      </c>
      <c r="O13" s="83">
        <f>(1/1.828)*F94</f>
        <v>0.1088313341711538</v>
      </c>
      <c r="P13" s="86" t="str">
        <f t="shared" si="2"/>
        <v>L3 (uh)</v>
      </c>
      <c r="Q13" s="87">
        <f>(1/1.985)*F94</f>
        <v>0.10022351580094165</v>
      </c>
      <c r="R13" s="58"/>
      <c r="S13" s="29" t="s">
        <v>194</v>
      </c>
      <c r="T13" s="46"/>
      <c r="U13" s="28"/>
    </row>
    <row r="14" spans="3:21">
      <c r="C14" s="27"/>
      <c r="D14" s="48"/>
      <c r="E14" s="48"/>
      <c r="F14" s="97" t="s">
        <v>25</v>
      </c>
      <c r="G14" s="110">
        <f>(1/0.7994)*F93</f>
        <v>99.546499306914782</v>
      </c>
      <c r="H14" s="86" t="str">
        <f>F14</f>
        <v>C4 (pf)</v>
      </c>
      <c r="I14" s="88">
        <f>(1/1.372)*F93</f>
        <v>58.001072555355442</v>
      </c>
      <c r="J14" s="86" t="str">
        <f>H14</f>
        <v>C4 (pf)</v>
      </c>
      <c r="K14" s="88">
        <f>(1/1.721)*F93</f>
        <v>46.239088637970752</v>
      </c>
      <c r="L14" s="86" t="str">
        <f t="shared" si="0"/>
        <v>C4 (pf)</v>
      </c>
      <c r="M14" s="88">
        <f>(1/1.622)*F93</f>
        <v>49.061326477156392</v>
      </c>
      <c r="N14" s="86" t="str">
        <f t="shared" si="1"/>
        <v>C4 (pf)</v>
      </c>
      <c r="O14" s="88">
        <f>(1/1.808)*F93</f>
        <v>44.014088244440082</v>
      </c>
      <c r="P14" s="86" t="str">
        <f t="shared" si="2"/>
        <v>C4 (pf)</v>
      </c>
      <c r="Q14" s="92">
        <f>(1/1.677)*F93</f>
        <v>47.452278799014714</v>
      </c>
      <c r="R14" s="58"/>
      <c r="S14" s="27" t="s">
        <v>223</v>
      </c>
      <c r="T14" s="46"/>
      <c r="U14" s="28"/>
    </row>
    <row r="15" spans="3:21">
      <c r="C15" s="27"/>
      <c r="D15" s="48"/>
      <c r="E15" s="48"/>
      <c r="F15" s="48"/>
      <c r="G15" s="48"/>
      <c r="H15" s="97" t="s">
        <v>26</v>
      </c>
      <c r="I15" s="98">
        <f>(1/0.9732)*F94</f>
        <v>0.20442219365481831</v>
      </c>
      <c r="J15" s="86" t="str">
        <f>H15</f>
        <v>L5 (uh)</v>
      </c>
      <c r="K15" s="83">
        <f>(1/1.478)*F94</f>
        <v>0.13460330099111581</v>
      </c>
      <c r="L15" s="86" t="str">
        <f t="shared" si="0"/>
        <v>L5 (uh)</v>
      </c>
      <c r="M15" s="83">
        <f>(1/1.941)*F94</f>
        <v>0.10249545536572341</v>
      </c>
      <c r="N15" s="86" t="str">
        <f t="shared" si="1"/>
        <v>L5 (uh)</v>
      </c>
      <c r="O15" s="83">
        <f>(1/1.808)*F94</f>
        <v>0.11003522061110019</v>
      </c>
      <c r="P15" s="86" t="str">
        <f t="shared" si="2"/>
        <v>L5 (uh)</v>
      </c>
      <c r="Q15" s="87">
        <f>(1/2.066)*F94</f>
        <v>9.6294133042047036E-2</v>
      </c>
      <c r="R15" s="58"/>
      <c r="S15" s="27" t="s">
        <v>221</v>
      </c>
      <c r="T15" s="46"/>
      <c r="U15" s="28"/>
    </row>
    <row r="16" spans="3:21" ht="15" thickBot="1">
      <c r="C16" s="27"/>
      <c r="D16" s="48"/>
      <c r="E16" s="48"/>
      <c r="F16" s="48"/>
      <c r="G16" s="48"/>
      <c r="H16" s="48"/>
      <c r="I16" s="48"/>
      <c r="J16" s="97" t="s">
        <v>27</v>
      </c>
      <c r="K16" s="110">
        <f>(1/0.8989)*F93</f>
        <v>88.527613245019097</v>
      </c>
      <c r="L16" s="86" t="str">
        <f t="shared" si="0"/>
        <v>C6 (pf)</v>
      </c>
      <c r="M16" s="88">
        <f>(1/1.437)*F93</f>
        <v>55.377502815551615</v>
      </c>
      <c r="N16" s="86" t="str">
        <f t="shared" si="1"/>
        <v>C6 (pf)</v>
      </c>
      <c r="O16" s="88">
        <f>(1/1.828)*F93</f>
        <v>43.532533668461525</v>
      </c>
      <c r="P16" s="86" t="str">
        <f t="shared" si="2"/>
        <v>C6 (pf)</v>
      </c>
      <c r="Q16" s="92">
        <f>(1/1.677)*F93</f>
        <v>47.452278799014714</v>
      </c>
      <c r="R16" s="58"/>
      <c r="S16" s="67" t="s">
        <v>224</v>
      </c>
      <c r="T16" s="33"/>
      <c r="U16" s="30"/>
    </row>
    <row r="17" spans="3:21" ht="15" thickTop="1">
      <c r="C17" s="27"/>
      <c r="D17" s="48"/>
      <c r="E17" s="48"/>
      <c r="F17" s="48"/>
      <c r="G17" s="48"/>
      <c r="H17" s="48"/>
      <c r="I17" s="48"/>
      <c r="J17" s="48"/>
      <c r="K17" s="48"/>
      <c r="L17" s="97" t="s">
        <v>28</v>
      </c>
      <c r="M17" s="98">
        <f>(1/1.01)*F94</f>
        <v>0.19697393947016748</v>
      </c>
      <c r="N17" s="86" t="str">
        <f t="shared" si="1"/>
        <v>L7 (uh)</v>
      </c>
      <c r="O17" s="83">
        <f>(1/1.507)*F94</f>
        <v>0.13201305830449181</v>
      </c>
      <c r="P17" s="86" t="str">
        <f t="shared" si="2"/>
        <v>L7 (uh)</v>
      </c>
      <c r="Q17" s="87">
        <f>(1/1.985)*F94</f>
        <v>0.10022351580094165</v>
      </c>
      <c r="R17" s="58"/>
      <c r="S17" s="58"/>
      <c r="T17" s="58"/>
      <c r="U17" s="58"/>
    </row>
    <row r="18" spans="3:21">
      <c r="C18" s="27"/>
      <c r="D18" s="48"/>
      <c r="E18" s="48"/>
      <c r="F18" s="48"/>
      <c r="G18" s="58"/>
      <c r="H18" s="39"/>
      <c r="I18" s="39" t="s">
        <v>44</v>
      </c>
      <c r="J18" s="48"/>
      <c r="K18" s="48"/>
      <c r="L18" s="48"/>
      <c r="M18" s="48"/>
      <c r="N18" s="97" t="s">
        <v>29</v>
      </c>
      <c r="O18" s="110">
        <f>(1/0.943)*F93</f>
        <v>84.387562615002835</v>
      </c>
      <c r="P18" s="86" t="str">
        <f t="shared" si="2"/>
        <v>C8 (pf)</v>
      </c>
      <c r="Q18" s="92">
        <f>(1/1.462)*F93</f>
        <v>54.430555092987468</v>
      </c>
      <c r="R18" s="58"/>
      <c r="S18" s="58"/>
      <c r="T18" s="58"/>
      <c r="U18" s="58"/>
    </row>
    <row r="19" spans="3:21" ht="15" thickBot="1">
      <c r="C19" s="17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3"/>
      <c r="P19" s="100" t="s">
        <v>30</v>
      </c>
      <c r="Q19" s="101">
        <f>(1/1.025)*F94</f>
        <v>0.19409139401450651</v>
      </c>
      <c r="R19" s="58"/>
      <c r="S19" s="58"/>
      <c r="T19" s="58"/>
      <c r="U19" s="58"/>
    </row>
    <row r="20" spans="3:21" ht="15.6" thickTop="1" thickBot="1"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58"/>
      <c r="S20" s="58"/>
      <c r="T20" s="58"/>
      <c r="U20" s="58"/>
    </row>
    <row r="21" spans="3:21" ht="15" thickTop="1">
      <c r="C21" s="16"/>
      <c r="D21" s="12" t="s">
        <v>31</v>
      </c>
      <c r="E21" s="14"/>
      <c r="F21" s="12" t="s">
        <v>32</v>
      </c>
      <c r="G21" s="14"/>
      <c r="H21" s="12" t="s">
        <v>33</v>
      </c>
      <c r="I21" s="13"/>
      <c r="J21" s="14" t="s">
        <v>34</v>
      </c>
      <c r="K21" s="14"/>
      <c r="L21" s="12" t="s">
        <v>35</v>
      </c>
      <c r="M21" s="13"/>
      <c r="N21" s="19" t="s">
        <v>36</v>
      </c>
      <c r="O21" s="13"/>
      <c r="P21" s="18" t="s">
        <v>37</v>
      </c>
      <c r="Q21" s="108"/>
      <c r="R21" s="58"/>
      <c r="S21" s="58"/>
      <c r="T21" s="58"/>
      <c r="U21" s="58"/>
    </row>
    <row r="22" spans="3:21">
      <c r="C22" s="15" t="s">
        <v>1</v>
      </c>
      <c r="D22" s="80" t="s">
        <v>2</v>
      </c>
      <c r="E22" s="81">
        <f>(1/0.8533)*F93</f>
        <v>93.258492377765947</v>
      </c>
      <c r="F22" s="80" t="str">
        <f>D22</f>
        <v>C1 (pf)</v>
      </c>
      <c r="G22" s="81">
        <f>(1/0.7994)*F93</f>
        <v>99.546499306914782</v>
      </c>
      <c r="H22" s="80" t="str">
        <f>F22</f>
        <v>C1 (pf)</v>
      </c>
      <c r="I22" s="81">
        <f>(1/0.9732)*F93</f>
        <v>81.768877461927332</v>
      </c>
      <c r="J22" s="80" t="str">
        <f>H22</f>
        <v>C1 (pf)</v>
      </c>
      <c r="K22" s="81">
        <f>(1/0.8989)*F93</f>
        <v>88.527613245019097</v>
      </c>
      <c r="L22" s="80" t="str">
        <f t="shared" ref="L22:L27" si="3">J22</f>
        <v>C1 (pf)</v>
      </c>
      <c r="M22" s="102">
        <f>(1/1.01)*F93</f>
        <v>78.789575788066998</v>
      </c>
      <c r="N22" s="80" t="str">
        <f t="shared" ref="N22:N28" si="4">L22</f>
        <v>C1 (pf)</v>
      </c>
      <c r="O22" s="102">
        <f>(1/0.943)*F93</f>
        <v>84.387562615002835</v>
      </c>
      <c r="P22" s="50" t="str">
        <f t="shared" ref="P22:P29" si="5">N22</f>
        <v>C1 (pf)</v>
      </c>
      <c r="Q22" s="114">
        <f>(1/1.025)*F93</f>
        <v>77.636557605802622</v>
      </c>
      <c r="R22" s="58"/>
      <c r="S22" s="58"/>
      <c r="T22" s="58"/>
      <c r="U22" s="58"/>
    </row>
    <row r="23" spans="3:21">
      <c r="C23" s="15"/>
      <c r="D23" s="86" t="s">
        <v>3</v>
      </c>
      <c r="E23" s="85">
        <f>(1/1.1036)*F94</f>
        <v>0.18026792213199455</v>
      </c>
      <c r="F23" s="86" t="str">
        <f>D23</f>
        <v>L2 (uh)</v>
      </c>
      <c r="G23" s="85">
        <f>(1/1.354)*F94</f>
        <v>0.14693033889576745</v>
      </c>
      <c r="H23" s="86" t="str">
        <f>F23</f>
        <v>L2 (uh)</v>
      </c>
      <c r="I23" s="85">
        <f>(1/1.372)*F94</f>
        <v>0.14500268138838859</v>
      </c>
      <c r="J23" s="86" t="str">
        <f>H23</f>
        <v>L2 (uh)</v>
      </c>
      <c r="K23" s="85">
        <f>(1/1.478)*F94</f>
        <v>0.13460330099111581</v>
      </c>
      <c r="L23" s="86" t="str">
        <f t="shared" si="3"/>
        <v>L2 (uh)</v>
      </c>
      <c r="M23" s="83">
        <f>(1/1.437)*F94</f>
        <v>0.13844375703887901</v>
      </c>
      <c r="N23" s="86" t="str">
        <f t="shared" si="4"/>
        <v>L2 (uh)</v>
      </c>
      <c r="O23" s="83">
        <f>(1/1.507)*F94</f>
        <v>0.13201305830449181</v>
      </c>
      <c r="P23" s="91" t="str">
        <f t="shared" si="5"/>
        <v>L2 (uh)</v>
      </c>
      <c r="Q23" s="87">
        <f>(1/1.462)*F94</f>
        <v>0.13607638773246866</v>
      </c>
      <c r="R23" s="58"/>
      <c r="S23" s="58"/>
      <c r="T23" s="58"/>
      <c r="U23" s="58"/>
    </row>
    <row r="24" spans="3:21">
      <c r="C24" s="27"/>
      <c r="D24" s="97" t="s">
        <v>4</v>
      </c>
      <c r="E24" s="110">
        <f>(1/0.8533)*F93</f>
        <v>93.258492377765947</v>
      </c>
      <c r="F24" s="91" t="str">
        <f>D24</f>
        <v>C3 (pf)</v>
      </c>
      <c r="G24" s="90">
        <f>(1/1.354)*F93</f>
        <v>58.772135558306992</v>
      </c>
      <c r="H24" s="91" t="str">
        <f>F24</f>
        <v>C3 (pf)</v>
      </c>
      <c r="I24" s="90">
        <f>(1/1.803)*F93</f>
        <v>44.136146170797382</v>
      </c>
      <c r="J24" s="86" t="str">
        <f>H24</f>
        <v>C3 (pf)</v>
      </c>
      <c r="K24" s="90">
        <f>(1/1.721)*F93</f>
        <v>46.239088637970752</v>
      </c>
      <c r="L24" s="86" t="str">
        <f t="shared" si="3"/>
        <v>C3 (pf)</v>
      </c>
      <c r="M24" s="88">
        <f>(1/1.941)*F93</f>
        <v>40.998182146289373</v>
      </c>
      <c r="N24" s="86" t="str">
        <f t="shared" si="4"/>
        <v>C3 (pf)</v>
      </c>
      <c r="O24" s="88">
        <f>(1/1.828)*F93</f>
        <v>43.532533668461525</v>
      </c>
      <c r="P24" s="91" t="str">
        <f t="shared" si="5"/>
        <v>C3 (pf)</v>
      </c>
      <c r="Q24" s="92">
        <f>(1/1.985)*F93</f>
        <v>40.089406320376661</v>
      </c>
      <c r="R24" s="58"/>
      <c r="S24" s="58"/>
      <c r="T24" s="58"/>
      <c r="U24" s="58"/>
    </row>
    <row r="25" spans="3:21">
      <c r="C25" s="27"/>
      <c r="D25" s="48"/>
      <c r="E25" s="48"/>
      <c r="F25" s="99" t="s">
        <v>7</v>
      </c>
      <c r="G25" s="98">
        <f>(1/0.7994)*F94</f>
        <v>0.24886624826728693</v>
      </c>
      <c r="H25" s="91" t="str">
        <f>F25</f>
        <v>L4 (uh)</v>
      </c>
      <c r="I25" s="85">
        <f>(1/1.372)*F94</f>
        <v>0.14500268138838859</v>
      </c>
      <c r="J25" s="86" t="str">
        <f>H25</f>
        <v>L4 (uh)</v>
      </c>
      <c r="K25" s="85">
        <f>(1/1.721)*F94</f>
        <v>0.11559772159492687</v>
      </c>
      <c r="L25" s="86" t="str">
        <f t="shared" si="3"/>
        <v>L4 (uh)</v>
      </c>
      <c r="M25" s="83">
        <f>(1/1.622)*F94</f>
        <v>0.12265331619289097</v>
      </c>
      <c r="N25" s="86" t="str">
        <f t="shared" si="4"/>
        <v>L4 (uh)</v>
      </c>
      <c r="O25" s="83">
        <f>(1/1.808)*F94</f>
        <v>0.11003522061110019</v>
      </c>
      <c r="P25" s="91" t="str">
        <f t="shared" si="5"/>
        <v>L4 (uh)</v>
      </c>
      <c r="Q25" s="87">
        <f>(1/1.677)*F94</f>
        <v>0.11863069699753677</v>
      </c>
      <c r="R25" s="58"/>
      <c r="S25" s="58"/>
      <c r="T25" s="58"/>
      <c r="U25" s="58"/>
    </row>
    <row r="26" spans="3:21">
      <c r="C26" s="27"/>
      <c r="D26" s="48"/>
      <c r="E26" s="48"/>
      <c r="F26" s="48"/>
      <c r="G26" s="48"/>
      <c r="H26" s="99" t="s">
        <v>8</v>
      </c>
      <c r="I26" s="110">
        <f>(1/0.9732)*F93</f>
        <v>81.768877461927332</v>
      </c>
      <c r="J26" s="86" t="str">
        <f>H26</f>
        <v>C5 (pf)</v>
      </c>
      <c r="K26" s="90">
        <f>(1/1.478)*F93</f>
        <v>53.841320396446328</v>
      </c>
      <c r="L26" s="86" t="str">
        <f t="shared" si="3"/>
        <v>C5 (pf)</v>
      </c>
      <c r="M26" s="88">
        <f>M24</f>
        <v>40.998182146289373</v>
      </c>
      <c r="N26" s="86" t="str">
        <f t="shared" si="4"/>
        <v>C5 (pf)</v>
      </c>
      <c r="O26" s="88">
        <f>(1/1.808)*F93</f>
        <v>44.014088244440082</v>
      </c>
      <c r="P26" s="91" t="str">
        <f t="shared" si="5"/>
        <v>C5 (pf)</v>
      </c>
      <c r="Q26" s="92">
        <f>(1/2.066)*F93</f>
        <v>38.517653216818822</v>
      </c>
      <c r="R26" s="58"/>
      <c r="S26" s="58"/>
      <c r="T26" s="58"/>
      <c r="U26" s="58"/>
    </row>
    <row r="27" spans="3:21">
      <c r="C27" s="27"/>
      <c r="D27" s="48"/>
      <c r="E27" s="48"/>
      <c r="F27" s="48"/>
      <c r="G27" s="48"/>
      <c r="H27" s="48"/>
      <c r="I27" s="48"/>
      <c r="J27" s="97" t="s">
        <v>10</v>
      </c>
      <c r="K27" s="98">
        <f>(1/0.8989)*F94</f>
        <v>0.22131903311254772</v>
      </c>
      <c r="L27" s="86" t="str">
        <f t="shared" si="3"/>
        <v>L6 (uh)</v>
      </c>
      <c r="M27" s="83">
        <f>M23</f>
        <v>0.13844375703887901</v>
      </c>
      <c r="N27" s="86" t="str">
        <f t="shared" si="4"/>
        <v>L6 (uh)</v>
      </c>
      <c r="O27" s="83">
        <f>(1/1.828)*F94</f>
        <v>0.1088313341711538</v>
      </c>
      <c r="P27" s="91" t="str">
        <f t="shared" si="5"/>
        <v>L6 (uh)</v>
      </c>
      <c r="Q27" s="87">
        <f>Q25</f>
        <v>0.11863069699753677</v>
      </c>
      <c r="R27" s="58"/>
      <c r="S27" s="58"/>
      <c r="T27" s="58"/>
      <c r="U27" s="58"/>
    </row>
    <row r="28" spans="3:21">
      <c r="C28" s="27"/>
      <c r="D28" s="48"/>
      <c r="E28" s="48"/>
      <c r="F28" s="48"/>
      <c r="G28" s="48"/>
      <c r="H28" s="48"/>
      <c r="I28" s="48"/>
      <c r="J28" s="48"/>
      <c r="K28" s="48"/>
      <c r="L28" s="97" t="s">
        <v>11</v>
      </c>
      <c r="M28" s="115">
        <f>M22</f>
        <v>78.789575788066998</v>
      </c>
      <c r="N28" s="86" t="str">
        <f t="shared" si="4"/>
        <v>C7 (pf)</v>
      </c>
      <c r="O28" s="88">
        <f>(1/1.507)*F93</f>
        <v>52.805223321796731</v>
      </c>
      <c r="P28" s="91" t="str">
        <f t="shared" si="5"/>
        <v>C7 (pf)</v>
      </c>
      <c r="Q28" s="92">
        <f>Q24</f>
        <v>40.089406320376661</v>
      </c>
      <c r="R28" s="58"/>
      <c r="S28" s="58"/>
      <c r="T28" s="58"/>
      <c r="U28" s="58"/>
    </row>
    <row r="29" spans="3:21">
      <c r="C29" s="27"/>
      <c r="D29" s="48"/>
      <c r="E29" s="48"/>
      <c r="F29" s="48"/>
      <c r="G29" s="48"/>
      <c r="H29" s="58"/>
      <c r="I29" s="39" t="s">
        <v>83</v>
      </c>
      <c r="J29" s="48"/>
      <c r="K29" s="48"/>
      <c r="L29" s="48"/>
      <c r="M29" s="48"/>
      <c r="N29" s="97" t="s">
        <v>12</v>
      </c>
      <c r="O29" s="105">
        <f>(1/0.943)*F94</f>
        <v>0.21096890653750708</v>
      </c>
      <c r="P29" s="91" t="str">
        <f t="shared" si="5"/>
        <v>L8 (uh)</v>
      </c>
      <c r="Q29" s="87">
        <f>Q23</f>
        <v>0.13607638773246866</v>
      </c>
      <c r="R29" s="58"/>
      <c r="S29" s="58"/>
      <c r="T29" s="58"/>
      <c r="U29" s="58"/>
    </row>
    <row r="30" spans="3:21" ht="15" thickBot="1">
      <c r="C30" s="17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6" t="s">
        <v>38</v>
      </c>
      <c r="Q30" s="117">
        <f>Q22</f>
        <v>77.636557605802622</v>
      </c>
      <c r="R30" s="58"/>
      <c r="S30" s="58"/>
      <c r="T30" s="58"/>
      <c r="U30" s="58"/>
    </row>
    <row r="31" spans="3:21" ht="15" thickTop="1"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</row>
    <row r="32" spans="3:21"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</row>
    <row r="33" spans="3:21"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</row>
    <row r="34" spans="3:21"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</row>
    <row r="35" spans="3:21"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</row>
    <row r="36" spans="3:21"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</row>
    <row r="92" spans="5:6" ht="15" thickBot="1"/>
    <row r="93" spans="5:6" ht="15" thickTop="1">
      <c r="E93" s="118" t="s">
        <v>5</v>
      </c>
      <c r="F93" s="119">
        <f>(1000000000000/(2*PI()*F6*F8*1000000))</f>
        <v>79.577471545947674</v>
      </c>
    </row>
    <row r="94" spans="5:6" ht="15" thickBot="1">
      <c r="E94" s="72" t="s">
        <v>6</v>
      </c>
      <c r="F94" s="73">
        <f>(F6*1000000/(2*PI()*F8*1000000))*1</f>
        <v>0.19894367886486916</v>
      </c>
    </row>
    <row r="95" spans="5:6" ht="15" thickTop="1"/>
  </sheetData>
  <sheetProtection sheet="1" objects="1" scenarios="1"/>
  <pageMargins left="0.7" right="0.7" top="0.75" bottom="0.75" header="0.3" footer="0.3"/>
  <pageSetup orientation="portrait" horizontalDpi="4294967293" verticalDpi="0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B1:S63"/>
  <sheetViews>
    <sheetView showGridLines="0" workbookViewId="0">
      <selection activeCell="D20" sqref="D20"/>
    </sheetView>
  </sheetViews>
  <sheetFormatPr defaultRowHeight="14.4"/>
  <cols>
    <col min="1" max="1" width="2.88671875" customWidth="1"/>
    <col min="4" max="4" width="13.5546875" customWidth="1"/>
    <col min="6" max="6" width="14.109375" customWidth="1"/>
    <col min="8" max="8" width="13.6640625" customWidth="1"/>
    <col min="10" max="10" width="15.5546875" customWidth="1"/>
    <col min="12" max="12" width="10.5546875" customWidth="1"/>
    <col min="14" max="14" width="12" customWidth="1"/>
    <col min="16" max="16" width="12.33203125" customWidth="1"/>
    <col min="17" max="17" width="1.33203125" customWidth="1"/>
    <col min="19" max="19" width="25.44140625" customWidth="1"/>
  </cols>
  <sheetData>
    <row r="1" spans="2:19" ht="15" thickBot="1"/>
    <row r="2" spans="2:19" ht="18.600000000000001" thickTop="1">
      <c r="C2" s="1" t="s">
        <v>141</v>
      </c>
      <c r="F2" s="1" t="s">
        <v>84</v>
      </c>
      <c r="R2" s="16" t="s">
        <v>219</v>
      </c>
      <c r="S2" s="9"/>
    </row>
    <row r="3" spans="2:19" ht="15" thickBot="1">
      <c r="R3" s="54" t="s">
        <v>227</v>
      </c>
      <c r="S3" s="28"/>
    </row>
    <row r="4" spans="2:19" ht="15" thickTop="1">
      <c r="B4" s="16" t="s">
        <v>13</v>
      </c>
      <c r="C4" s="4"/>
      <c r="D4" s="4"/>
      <c r="E4" s="10">
        <v>50</v>
      </c>
      <c r="R4" s="27" t="s">
        <v>74</v>
      </c>
      <c r="S4" s="28"/>
    </row>
    <row r="5" spans="2:19">
      <c r="B5" s="5"/>
      <c r="C5" s="2"/>
      <c r="D5" s="2"/>
      <c r="E5" s="6"/>
      <c r="R5" s="27" t="s">
        <v>202</v>
      </c>
      <c r="S5" s="28"/>
    </row>
    <row r="6" spans="2:19" ht="15" thickBot="1">
      <c r="B6" s="17" t="s">
        <v>14</v>
      </c>
      <c r="C6" s="8"/>
      <c r="D6" s="8"/>
      <c r="E6" s="11">
        <v>600</v>
      </c>
      <c r="R6" s="29" t="s">
        <v>96</v>
      </c>
      <c r="S6" s="28"/>
    </row>
    <row r="7" spans="2:19" ht="15.6" thickTop="1" thickBot="1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R7" s="29" t="s">
        <v>97</v>
      </c>
      <c r="S7" s="28"/>
    </row>
    <row r="8" spans="2:19" ht="15" thickTop="1">
      <c r="B8" s="16"/>
      <c r="C8" s="12" t="s">
        <v>15</v>
      </c>
      <c r="D8" s="13"/>
      <c r="E8" s="14" t="s">
        <v>16</v>
      </c>
      <c r="F8" s="14"/>
      <c r="G8" s="12" t="s">
        <v>17</v>
      </c>
      <c r="H8" s="14"/>
      <c r="I8" s="12" t="s">
        <v>18</v>
      </c>
      <c r="J8" s="14"/>
      <c r="K8" s="12" t="s">
        <v>19</v>
      </c>
      <c r="L8" s="13"/>
      <c r="M8" s="14" t="s">
        <v>20</v>
      </c>
      <c r="N8" s="14"/>
      <c r="O8" s="12" t="s">
        <v>21</v>
      </c>
      <c r="P8" s="108"/>
      <c r="R8" s="29" t="s">
        <v>102</v>
      </c>
      <c r="S8" s="28"/>
    </row>
    <row r="9" spans="2:19">
      <c r="B9" s="15" t="s">
        <v>39</v>
      </c>
      <c r="C9" s="80" t="s">
        <v>22</v>
      </c>
      <c r="D9" s="106">
        <f>1.0285^-1*D62</f>
        <v>1.2895393217622375E-2</v>
      </c>
      <c r="E9" s="80" t="s">
        <v>22</v>
      </c>
      <c r="F9" s="106">
        <f>0.9277^-1*D62</f>
        <v>1.4296552683329323E-2</v>
      </c>
      <c r="G9" s="80" t="s">
        <v>22</v>
      </c>
      <c r="H9" s="106">
        <f>1.144^-1*D62</f>
        <v>1.1593454479304731E-2</v>
      </c>
      <c r="I9" s="80" t="s">
        <v>22</v>
      </c>
      <c r="J9" s="106">
        <f>1.036^-1*D62</f>
        <v>1.2802038536992869E-2</v>
      </c>
      <c r="K9" s="80" t="s">
        <v>22</v>
      </c>
      <c r="L9" s="106">
        <f>1.178^-1*D62</f>
        <v>1.1258838645436853E-2</v>
      </c>
      <c r="M9" s="80" t="s">
        <v>22</v>
      </c>
      <c r="N9" s="106">
        <f>1.086^-1*D62</f>
        <v>1.2212626081330214E-2</v>
      </c>
      <c r="O9" s="80" t="s">
        <v>22</v>
      </c>
      <c r="P9" s="109">
        <f>1.193^-1*D62</f>
        <v>1.111727738836933E-2</v>
      </c>
      <c r="R9" s="29" t="s">
        <v>163</v>
      </c>
      <c r="S9" s="28"/>
    </row>
    <row r="10" spans="2:19">
      <c r="B10" s="15" t="s">
        <v>41</v>
      </c>
      <c r="C10" s="86" t="s">
        <v>23</v>
      </c>
      <c r="D10" s="88">
        <f>1.1468^(-1)*D61</f>
        <v>4.6260592690354407</v>
      </c>
      <c r="E10" s="86" t="s">
        <v>23</v>
      </c>
      <c r="F10" s="88">
        <f>1.434^-1*D61</f>
        <v>3.6995570221268093</v>
      </c>
      <c r="G10" s="86" t="s">
        <v>23</v>
      </c>
      <c r="H10" s="88">
        <f>1.372^-1*D61</f>
        <v>3.8667381703570287</v>
      </c>
      <c r="I10" s="86" t="s">
        <v>23</v>
      </c>
      <c r="J10" s="88">
        <f>1.516^-1*D61</f>
        <v>3.4994490565500289</v>
      </c>
      <c r="K10" s="86" t="s">
        <v>23</v>
      </c>
      <c r="L10" s="88">
        <f>1.423^-1*D61</f>
        <v>3.7281551438719913</v>
      </c>
      <c r="M10" s="86" t="s">
        <v>23</v>
      </c>
      <c r="N10" s="88">
        <f>1.526^-1*D61</f>
        <v>3.4765168871099892</v>
      </c>
      <c r="O10" s="86" t="s">
        <v>23</v>
      </c>
      <c r="P10" s="92">
        <f>1.443^-1*D61</f>
        <v>3.6764828619056438</v>
      </c>
      <c r="R10" s="29" t="s">
        <v>139</v>
      </c>
      <c r="S10" s="28"/>
    </row>
    <row r="11" spans="2:19">
      <c r="B11" s="15"/>
      <c r="C11" s="97" t="s">
        <v>24</v>
      </c>
      <c r="D11" s="98">
        <f>1.0285^-1*D62</f>
        <v>1.2895393217622375E-2</v>
      </c>
      <c r="E11" s="86" t="s">
        <v>24</v>
      </c>
      <c r="F11" s="83">
        <f>1.434^-1*D62</f>
        <v>9.2488925553170249E-3</v>
      </c>
      <c r="G11" s="86" t="s">
        <v>24</v>
      </c>
      <c r="H11" s="83">
        <f>1.972^-1*D62</f>
        <v>6.7256145660875314E-3</v>
      </c>
      <c r="I11" s="86" t="s">
        <v>24</v>
      </c>
      <c r="J11" s="83">
        <f>1.788^-1*D62</f>
        <v>7.4177359755730494E-3</v>
      </c>
      <c r="K11" s="86" t="s">
        <v>24</v>
      </c>
      <c r="L11" s="83">
        <f>2.094^-1*D62</f>
        <v>6.3337688272801394E-3</v>
      </c>
      <c r="M11" s="86" t="s">
        <v>24</v>
      </c>
      <c r="N11" s="83">
        <f>1.902^-1*D62</f>
        <v>6.9731398129992709E-3</v>
      </c>
      <c r="O11" s="86" t="s">
        <v>24</v>
      </c>
      <c r="P11" s="87">
        <f>2.132^-1*D62</f>
        <v>6.2208780132854647E-3</v>
      </c>
      <c r="R11" s="27" t="s">
        <v>176</v>
      </c>
      <c r="S11" s="28"/>
    </row>
    <row r="12" spans="2:19">
      <c r="B12" s="27"/>
      <c r="C12" s="48"/>
      <c r="D12" s="48"/>
      <c r="E12" s="97" t="s">
        <v>25</v>
      </c>
      <c r="F12" s="110">
        <f>0.9277^-1*D61</f>
        <v>5.718621073331728</v>
      </c>
      <c r="G12" s="86" t="s">
        <v>25</v>
      </c>
      <c r="H12" s="88">
        <f>1.372^-1*D61</f>
        <v>3.8667381703570287</v>
      </c>
      <c r="I12" s="86" t="s">
        <v>25</v>
      </c>
      <c r="J12" s="88">
        <f>1.788^-1*D61</f>
        <v>2.9670943902292191</v>
      </c>
      <c r="K12" s="86" t="s">
        <v>25</v>
      </c>
      <c r="L12" s="88">
        <f>1.574^-1*D61</f>
        <v>3.3704985830558094</v>
      </c>
      <c r="M12" s="86" t="s">
        <v>25</v>
      </c>
      <c r="N12" s="88">
        <f>1.83^-1*D61</f>
        <v>2.8989971419288763</v>
      </c>
      <c r="O12" s="86" t="s">
        <v>25</v>
      </c>
      <c r="P12" s="92">
        <f>1.618^-1*D61</f>
        <v>3.2788410196105335</v>
      </c>
      <c r="R12" s="27" t="s">
        <v>191</v>
      </c>
      <c r="S12" s="28"/>
    </row>
    <row r="13" spans="2:19">
      <c r="B13" s="27"/>
      <c r="C13" s="48"/>
      <c r="D13" s="48"/>
      <c r="E13" s="48"/>
      <c r="F13" s="48"/>
      <c r="G13" s="97" t="s">
        <v>26</v>
      </c>
      <c r="H13" s="98">
        <f>1.144^-1*D62</f>
        <v>1.1593454479304731E-2</v>
      </c>
      <c r="I13" s="86" t="s">
        <v>26</v>
      </c>
      <c r="J13" s="83">
        <f>1.516^-1*D62</f>
        <v>8.7486226413750739E-3</v>
      </c>
      <c r="K13" s="86" t="s">
        <v>26</v>
      </c>
      <c r="L13" s="83">
        <f>2.094^-1*D62</f>
        <v>6.3337688272801394E-3</v>
      </c>
      <c r="M13" s="86" t="s">
        <v>26</v>
      </c>
      <c r="N13" s="83">
        <f>1.83^-1*D62</f>
        <v>7.2474928548221917E-3</v>
      </c>
      <c r="O13" s="86" t="s">
        <v>26</v>
      </c>
      <c r="P13" s="87">
        <f>2.203^-1*D62</f>
        <v>6.0203867109961924E-3</v>
      </c>
      <c r="R13" s="27" t="s">
        <v>218</v>
      </c>
      <c r="S13" s="6"/>
    </row>
    <row r="14" spans="2:19">
      <c r="B14" s="27"/>
      <c r="C14" s="48"/>
      <c r="D14" s="48"/>
      <c r="E14" s="48"/>
      <c r="F14" s="48"/>
      <c r="G14" s="48"/>
      <c r="H14" s="48"/>
      <c r="I14" s="97" t="s">
        <v>27</v>
      </c>
      <c r="J14" s="110">
        <f>1.036^-1*D61</f>
        <v>5.1208154147971463</v>
      </c>
      <c r="K14" s="86" t="s">
        <v>27</v>
      </c>
      <c r="L14" s="88">
        <f>1.423^-1*D61</f>
        <v>3.7281551438719913</v>
      </c>
      <c r="M14" s="86" t="s">
        <v>27</v>
      </c>
      <c r="N14" s="88">
        <f>1.902^-1*D61</f>
        <v>2.7892559251997078</v>
      </c>
      <c r="O14" s="86" t="s">
        <v>27</v>
      </c>
      <c r="P14" s="92">
        <f>1.618^-1*D61</f>
        <v>3.2788410196105335</v>
      </c>
      <c r="R14" s="27" t="s">
        <v>205</v>
      </c>
      <c r="S14" s="28"/>
    </row>
    <row r="15" spans="2:19" ht="15" thickBot="1">
      <c r="B15" s="27"/>
      <c r="C15" s="48"/>
      <c r="D15" s="48"/>
      <c r="E15" s="48"/>
      <c r="F15" s="48"/>
      <c r="G15" s="48"/>
      <c r="H15" s="48"/>
      <c r="I15" s="48"/>
      <c r="J15" s="48"/>
      <c r="K15" s="97" t="s">
        <v>28</v>
      </c>
      <c r="L15" s="98">
        <f>1.178^-1*D62</f>
        <v>1.1258838645436853E-2</v>
      </c>
      <c r="M15" s="86" t="s">
        <v>28</v>
      </c>
      <c r="N15" s="83">
        <f>1.526^-1*D62</f>
        <v>8.6912922177749749E-3</v>
      </c>
      <c r="O15" s="86" t="s">
        <v>28</v>
      </c>
      <c r="P15" s="87">
        <f>2.132^-1*D62</f>
        <v>6.2208780132854647E-3</v>
      </c>
      <c r="R15" s="17" t="s">
        <v>225</v>
      </c>
      <c r="S15" s="25"/>
    </row>
    <row r="16" spans="2:19" ht="15" thickTop="1">
      <c r="B16" s="27"/>
      <c r="C16" s="48"/>
      <c r="D16" s="48"/>
      <c r="E16" s="48"/>
      <c r="F16" s="48"/>
      <c r="G16" s="111" t="s">
        <v>42</v>
      </c>
      <c r="H16" s="39"/>
      <c r="I16" s="48"/>
      <c r="J16" s="48"/>
      <c r="K16" s="48"/>
      <c r="L16" s="48"/>
      <c r="M16" s="97" t="s">
        <v>29</v>
      </c>
      <c r="N16" s="110">
        <f>1.086^-1*D61</f>
        <v>4.8850504325320845</v>
      </c>
      <c r="O16" s="86" t="s">
        <v>29</v>
      </c>
      <c r="P16" s="92">
        <f>1.443^-1*D61</f>
        <v>3.6764828619056438</v>
      </c>
    </row>
    <row r="17" spans="2:16" ht="15" thickBot="1">
      <c r="B17" s="17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3"/>
      <c r="O17" s="100" t="s">
        <v>30</v>
      </c>
      <c r="P17" s="101">
        <f>1.193^-1*D62</f>
        <v>1.111727738836933E-2</v>
      </c>
    </row>
    <row r="18" spans="2:16" ht="15.6" thickTop="1" thickBot="1"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</row>
    <row r="19" spans="2:16" ht="15" thickTop="1">
      <c r="B19" s="16"/>
      <c r="C19" s="12" t="s">
        <v>31</v>
      </c>
      <c r="D19" s="14"/>
      <c r="E19" s="12" t="s">
        <v>32</v>
      </c>
      <c r="F19" s="14"/>
      <c r="G19" s="12" t="s">
        <v>33</v>
      </c>
      <c r="H19" s="13"/>
      <c r="I19" s="14" t="s">
        <v>34</v>
      </c>
      <c r="J19" s="14"/>
      <c r="K19" s="12" t="s">
        <v>35</v>
      </c>
      <c r="L19" s="13"/>
      <c r="M19" s="19" t="s">
        <v>36</v>
      </c>
      <c r="N19" s="13"/>
      <c r="O19" s="18" t="s">
        <v>37</v>
      </c>
      <c r="P19" s="108"/>
    </row>
    <row r="20" spans="2:16">
      <c r="B20" s="15" t="s">
        <v>40</v>
      </c>
      <c r="C20" s="80" t="s">
        <v>2</v>
      </c>
      <c r="D20" s="81">
        <f>1.0285^-1*D61</f>
        <v>5.1581572870489492</v>
      </c>
      <c r="E20" s="80" t="s">
        <v>2</v>
      </c>
      <c r="F20" s="81">
        <f>0.9277^-1*D61</f>
        <v>5.718621073331728</v>
      </c>
      <c r="G20" s="80" t="s">
        <v>2</v>
      </c>
      <c r="H20" s="81">
        <f>1.144^-1*D61</f>
        <v>4.637381791721892</v>
      </c>
      <c r="I20" s="80" t="s">
        <v>2</v>
      </c>
      <c r="J20" s="81">
        <f>1.036^-1*D61</f>
        <v>5.1208154147971463</v>
      </c>
      <c r="K20" s="80" t="s">
        <v>2</v>
      </c>
      <c r="L20" s="102">
        <f>1.178^-1*D61</f>
        <v>4.5035354581747402</v>
      </c>
      <c r="M20" s="80" t="s">
        <v>2</v>
      </c>
      <c r="N20" s="102">
        <f>1.086^-1*D61</f>
        <v>4.8850504325320845</v>
      </c>
      <c r="O20" s="50" t="s">
        <v>2</v>
      </c>
      <c r="P20" s="114">
        <f>1.193^-1*D61</f>
        <v>4.4469109553477315</v>
      </c>
    </row>
    <row r="21" spans="2:16">
      <c r="B21" s="15"/>
      <c r="C21" s="86" t="s">
        <v>3</v>
      </c>
      <c r="D21" s="85">
        <f>1.1468^-1*D62</f>
        <v>1.1565148172588606E-2</v>
      </c>
      <c r="E21" s="86" t="s">
        <v>3</v>
      </c>
      <c r="F21" s="85">
        <f>1.434^-1*D62</f>
        <v>9.2488925553170249E-3</v>
      </c>
      <c r="G21" s="86" t="s">
        <v>3</v>
      </c>
      <c r="H21" s="85">
        <f>1.372^-1*D62</f>
        <v>9.6668454258925732E-3</v>
      </c>
      <c r="I21" s="86" t="s">
        <v>3</v>
      </c>
      <c r="J21" s="85">
        <f>1.516^-1*D62</f>
        <v>8.7486226413750739E-3</v>
      </c>
      <c r="K21" s="86" t="s">
        <v>3</v>
      </c>
      <c r="L21" s="83">
        <f>1.423^-1*D62</f>
        <v>9.3203878596799811E-3</v>
      </c>
      <c r="M21" s="86" t="s">
        <v>3</v>
      </c>
      <c r="N21" s="83">
        <f>1.526^-1*D62</f>
        <v>8.6912922177749749E-3</v>
      </c>
      <c r="O21" s="91" t="s">
        <v>3</v>
      </c>
      <c r="P21" s="87">
        <f>1.443^-1*D62</f>
        <v>9.1912071547641111E-3</v>
      </c>
    </row>
    <row r="22" spans="2:16">
      <c r="B22" s="27"/>
      <c r="C22" s="97" t="s">
        <v>4</v>
      </c>
      <c r="D22" s="110">
        <f>1.0285^-1*D61</f>
        <v>5.1581572870489492</v>
      </c>
      <c r="E22" s="91" t="s">
        <v>4</v>
      </c>
      <c r="F22" s="90">
        <f>1.434^-1*D61</f>
        <v>3.6995570221268093</v>
      </c>
      <c r="G22" s="91" t="s">
        <v>4</v>
      </c>
      <c r="H22" s="90">
        <f>1.972^-1*D61</f>
        <v>2.6902458264350124</v>
      </c>
      <c r="I22" s="86" t="s">
        <v>4</v>
      </c>
      <c r="J22" s="90">
        <f>1.788^-1*D61</f>
        <v>2.9670943902292191</v>
      </c>
      <c r="K22" s="86" t="s">
        <v>4</v>
      </c>
      <c r="L22" s="88">
        <f>2.094^-1*D61</f>
        <v>2.5335075309120554</v>
      </c>
      <c r="M22" s="86" t="s">
        <v>4</v>
      </c>
      <c r="N22" s="88">
        <f>1.902^-1*D61</f>
        <v>2.7892559251997078</v>
      </c>
      <c r="O22" s="91" t="s">
        <v>4</v>
      </c>
      <c r="P22" s="92">
        <f>2.132^-1*D61</f>
        <v>2.4883512053141854</v>
      </c>
    </row>
    <row r="23" spans="2:16">
      <c r="B23" s="27"/>
      <c r="C23" s="48"/>
      <c r="D23" s="48"/>
      <c r="E23" s="99" t="s">
        <v>7</v>
      </c>
      <c r="F23" s="98">
        <f>0.9277^-1*D62</f>
        <v>1.4296552683329323E-2</v>
      </c>
      <c r="G23" s="91" t="s">
        <v>7</v>
      </c>
      <c r="H23" s="85">
        <f>1.372^-1*D62</f>
        <v>9.6668454258925732E-3</v>
      </c>
      <c r="I23" s="86" t="s">
        <v>7</v>
      </c>
      <c r="J23" s="85">
        <f>1.788^-1*D62</f>
        <v>7.4177359755730494E-3</v>
      </c>
      <c r="K23" s="86" t="s">
        <v>7</v>
      </c>
      <c r="L23" s="83">
        <f>1.574^-1*D62</f>
        <v>8.4262464576395253E-3</v>
      </c>
      <c r="M23" s="86" t="s">
        <v>7</v>
      </c>
      <c r="N23" s="83">
        <f>1.83^-1*D62</f>
        <v>7.2474928548221917E-3</v>
      </c>
      <c r="O23" s="91" t="s">
        <v>7</v>
      </c>
      <c r="P23" s="87">
        <f>1.618^-1*D62</f>
        <v>8.1971025490263361E-3</v>
      </c>
    </row>
    <row r="24" spans="2:16">
      <c r="B24" s="27"/>
      <c r="C24" s="48"/>
      <c r="D24" s="48"/>
      <c r="E24" s="48"/>
      <c r="F24" s="48"/>
      <c r="G24" s="99" t="s">
        <v>8</v>
      </c>
      <c r="H24" s="110">
        <f>1.144^-1*D61</f>
        <v>4.637381791721892</v>
      </c>
      <c r="I24" s="86" t="s">
        <v>8</v>
      </c>
      <c r="J24" s="90">
        <f>1.516^-1*D61</f>
        <v>3.4994490565500289</v>
      </c>
      <c r="K24" s="86" t="s">
        <v>8</v>
      </c>
      <c r="L24" s="88">
        <f>2.094^-1*D61</f>
        <v>2.5335075309120554</v>
      </c>
      <c r="M24" s="86" t="s">
        <v>8</v>
      </c>
      <c r="N24" s="88">
        <f>1.83^-1*D61</f>
        <v>2.8989971419288763</v>
      </c>
      <c r="O24" s="91" t="s">
        <v>8</v>
      </c>
      <c r="P24" s="92">
        <f>2.203^-1*D61</f>
        <v>2.4081546843984767</v>
      </c>
    </row>
    <row r="25" spans="2:16">
      <c r="B25" s="27"/>
      <c r="C25" s="48"/>
      <c r="D25" s="48"/>
      <c r="E25" s="48"/>
      <c r="F25" s="48"/>
      <c r="G25" s="48"/>
      <c r="H25" s="48"/>
      <c r="I25" s="97" t="s">
        <v>10</v>
      </c>
      <c r="J25" s="98">
        <f>1.036^-1*D62</f>
        <v>1.2802038536992869E-2</v>
      </c>
      <c r="K25" s="86" t="s">
        <v>10</v>
      </c>
      <c r="L25" s="83">
        <f>1.423^-1*D62</f>
        <v>9.3203878596799811E-3</v>
      </c>
      <c r="M25" s="86" t="s">
        <v>10</v>
      </c>
      <c r="N25" s="83">
        <f>1.902^-1*D62</f>
        <v>6.9731398129992709E-3</v>
      </c>
      <c r="O25" s="91" t="s">
        <v>10</v>
      </c>
      <c r="P25" s="87">
        <f>1.618^-1*D62</f>
        <v>8.1971025490263361E-3</v>
      </c>
    </row>
    <row r="26" spans="2:16">
      <c r="B26" s="27"/>
      <c r="C26" s="48"/>
      <c r="D26" s="48"/>
      <c r="E26" s="48"/>
      <c r="F26" s="48"/>
      <c r="G26" s="48"/>
      <c r="H26" s="48"/>
      <c r="I26" s="48"/>
      <c r="J26" s="48"/>
      <c r="K26" s="97" t="s">
        <v>11</v>
      </c>
      <c r="L26" s="115">
        <f>1.178^-1*D61</f>
        <v>4.5035354581747402</v>
      </c>
      <c r="M26" s="86" t="s">
        <v>11</v>
      </c>
      <c r="N26" s="88">
        <f>1.526^-1*D61</f>
        <v>3.4765168871099892</v>
      </c>
      <c r="O26" s="91" t="s">
        <v>11</v>
      </c>
      <c r="P26" s="92">
        <f>2.132^-1*D61</f>
        <v>2.4883512053141854</v>
      </c>
    </row>
    <row r="27" spans="2:16">
      <c r="B27" s="27"/>
      <c r="C27" s="48"/>
      <c r="D27" s="48"/>
      <c r="E27" s="48"/>
      <c r="F27" s="48"/>
      <c r="G27" s="111" t="s">
        <v>43</v>
      </c>
      <c r="H27" s="48"/>
      <c r="I27" s="48"/>
      <c r="J27" s="48"/>
      <c r="K27" s="48"/>
      <c r="L27" s="48"/>
      <c r="M27" s="97" t="s">
        <v>12</v>
      </c>
      <c r="N27" s="105">
        <f>1.086^-1*D62</f>
        <v>1.2212626081330214E-2</v>
      </c>
      <c r="O27" s="91" t="s">
        <v>12</v>
      </c>
      <c r="P27" s="87">
        <f>1.443^-1*D62</f>
        <v>9.1912071547641111E-3</v>
      </c>
    </row>
    <row r="28" spans="2:16" ht="15" thickBot="1">
      <c r="B28" s="17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6" t="s">
        <v>38</v>
      </c>
      <c r="P28" s="117">
        <f>1.193^-1*D61</f>
        <v>4.4469109553477315</v>
      </c>
    </row>
    <row r="29" spans="2:16" ht="15" thickTop="1"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</row>
    <row r="30" spans="2:16"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</row>
    <row r="31" spans="2:16"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</row>
    <row r="32" spans="2:16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</row>
    <row r="33" spans="2:16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</row>
    <row r="34" spans="2:16"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</row>
    <row r="35" spans="2:16"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</row>
    <row r="36" spans="2:16"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</row>
    <row r="37" spans="2:16"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</row>
    <row r="38" spans="2:16"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</row>
    <row r="39" spans="2:16"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</row>
    <row r="40" spans="2:16"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</row>
    <row r="41" spans="2:16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</row>
    <row r="42" spans="2:16"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</row>
    <row r="43" spans="2:16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</row>
    <row r="44" spans="2:16"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</row>
    <row r="60" spans="3:4" ht="15" thickBot="1"/>
    <row r="61" spans="3:4" ht="15" thickTop="1">
      <c r="C61" s="118" t="s">
        <v>5</v>
      </c>
      <c r="D61" s="119">
        <f>(1000000000000/(2*PI()*E4*E6*1000000))</f>
        <v>5.3051647697298439</v>
      </c>
    </row>
    <row r="62" spans="3:4" ht="15" thickBot="1">
      <c r="C62" s="72" t="s">
        <v>6</v>
      </c>
      <c r="D62" s="73">
        <f>(E4*1000000/(2*PI()*E6*1000000))*1</f>
        <v>1.3262911924324612E-2</v>
      </c>
    </row>
    <row r="63" spans="3:4" ht="15" thickTop="1"/>
  </sheetData>
  <sheetProtection sheet="1" objects="1" scenarios="1"/>
  <pageMargins left="0.7" right="0.7" top="0.75" bottom="0.75" header="0.3" footer="0.3"/>
  <pageSetup orientation="portrait" horizontalDpi="4294967293" r:id="rId1"/>
  <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B1:AA103"/>
  <sheetViews>
    <sheetView showGridLines="0" workbookViewId="0">
      <selection activeCell="I5" sqref="I5"/>
    </sheetView>
  </sheetViews>
  <sheetFormatPr defaultRowHeight="14.4"/>
  <cols>
    <col min="1" max="1" width="1.6640625" customWidth="1"/>
    <col min="2" max="2" width="7.88671875" customWidth="1"/>
    <col min="3" max="3" width="8.88671875" customWidth="1"/>
    <col min="4" max="4" width="16" customWidth="1"/>
    <col min="6" max="6" width="15.6640625" customWidth="1"/>
    <col min="7" max="7" width="9.44140625" customWidth="1"/>
    <col min="8" max="8" width="13.5546875" customWidth="1"/>
    <col min="10" max="10" width="13.44140625" customWidth="1"/>
    <col min="12" max="12" width="12.5546875" customWidth="1"/>
    <col min="14" max="14" width="11.6640625" customWidth="1"/>
    <col min="16" max="16" width="12.5546875" customWidth="1"/>
    <col min="17" max="17" width="4" customWidth="1"/>
    <col min="19" max="19" width="25.88671875" customWidth="1"/>
  </cols>
  <sheetData>
    <row r="1" spans="2:27" ht="15" thickBot="1"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2:27" ht="18.600000000000001" thickTop="1">
      <c r="D2" s="1" t="s">
        <v>45</v>
      </c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16" t="s">
        <v>213</v>
      </c>
      <c r="S2" s="108"/>
    </row>
    <row r="3" spans="2:27" ht="15" thickBot="1">
      <c r="D3" s="58"/>
      <c r="E3" s="58"/>
      <c r="F3" s="58"/>
      <c r="G3" s="58"/>
      <c r="H3" s="58"/>
      <c r="K3" s="58"/>
      <c r="L3" s="58"/>
      <c r="M3" s="58"/>
      <c r="N3" s="58"/>
      <c r="O3" s="58"/>
      <c r="P3" s="58"/>
      <c r="Q3" s="58"/>
      <c r="R3" s="27" t="s">
        <v>226</v>
      </c>
      <c r="S3" s="28"/>
    </row>
    <row r="4" spans="2:27" ht="15" thickTop="1">
      <c r="B4" s="16" t="s">
        <v>57</v>
      </c>
      <c r="C4" s="14"/>
      <c r="D4" s="14"/>
      <c r="E4" s="71">
        <v>50</v>
      </c>
      <c r="F4" s="58"/>
      <c r="G4" s="58"/>
      <c r="H4" s="58"/>
      <c r="K4" s="58"/>
      <c r="L4" s="58"/>
      <c r="M4" s="58"/>
      <c r="N4" s="58"/>
      <c r="O4" s="58"/>
      <c r="P4" s="58"/>
      <c r="Q4" s="58"/>
      <c r="R4" s="54" t="s">
        <v>164</v>
      </c>
      <c r="S4" s="28"/>
    </row>
    <row r="5" spans="2:27">
      <c r="B5" s="31" t="s">
        <v>75</v>
      </c>
      <c r="C5" s="32"/>
      <c r="D5" s="32"/>
      <c r="E5" s="74">
        <v>15</v>
      </c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27" t="s">
        <v>202</v>
      </c>
      <c r="S5" s="28"/>
    </row>
    <row r="6" spans="2:27" ht="15" thickBot="1">
      <c r="B6" s="17" t="s">
        <v>73</v>
      </c>
      <c r="C6" s="33"/>
      <c r="D6" s="33"/>
      <c r="E6" s="75">
        <v>7</v>
      </c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29" t="s">
        <v>96</v>
      </c>
      <c r="S6" s="28"/>
    </row>
    <row r="7" spans="2:27" ht="15.6" thickTop="1" thickBot="1"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29" t="s">
        <v>97</v>
      </c>
      <c r="S7" s="28"/>
    </row>
    <row r="8" spans="2:27" ht="15" thickTop="1">
      <c r="C8" s="3"/>
      <c r="D8" s="13" t="s">
        <v>46</v>
      </c>
      <c r="E8" s="14"/>
      <c r="F8" s="14" t="s">
        <v>58</v>
      </c>
      <c r="G8" s="12" t="s">
        <v>60</v>
      </c>
      <c r="H8" s="13"/>
      <c r="I8" s="12" t="s">
        <v>34</v>
      </c>
      <c r="J8" s="13"/>
      <c r="K8" s="12" t="s">
        <v>63</v>
      </c>
      <c r="L8" s="14"/>
      <c r="M8" s="12" t="s">
        <v>62</v>
      </c>
      <c r="N8" s="13"/>
      <c r="O8" s="12" t="s">
        <v>64</v>
      </c>
      <c r="P8" s="14"/>
      <c r="Q8" s="27"/>
      <c r="R8" s="29" t="s">
        <v>102</v>
      </c>
      <c r="S8" s="28"/>
      <c r="T8" s="2"/>
      <c r="U8" s="2"/>
      <c r="V8" s="2"/>
      <c r="W8" s="2"/>
      <c r="X8" s="2"/>
      <c r="Y8" s="2"/>
      <c r="Z8" s="2"/>
    </row>
    <row r="9" spans="2:27">
      <c r="C9" s="22" t="s">
        <v>2</v>
      </c>
      <c r="D9" s="77">
        <f>(D100*D99)*1000000000000</f>
        <v>454.72840935358965</v>
      </c>
      <c r="E9" s="49" t="s">
        <v>2</v>
      </c>
      <c r="F9" s="78">
        <f>0.7654*D9</f>
        <v>348.04912451923752</v>
      </c>
      <c r="G9" s="79" t="s">
        <v>2</v>
      </c>
      <c r="H9" s="77">
        <f>0.618*D9</f>
        <v>281.02215698051839</v>
      </c>
      <c r="I9" s="79" t="s">
        <v>2</v>
      </c>
      <c r="J9" s="77">
        <f>0.5176*D9</f>
        <v>235.36742468141799</v>
      </c>
      <c r="K9" s="80" t="s">
        <v>2</v>
      </c>
      <c r="L9" s="81">
        <f>0.445*D9</f>
        <v>202.35414216234739</v>
      </c>
      <c r="M9" s="79" t="s">
        <v>2</v>
      </c>
      <c r="N9" s="77">
        <f>0.39*D9</f>
        <v>177.34407964789997</v>
      </c>
      <c r="O9" s="80" t="s">
        <v>2</v>
      </c>
      <c r="P9" s="81">
        <f>0.3473*D9</f>
        <v>157.92717656850169</v>
      </c>
      <c r="Q9" s="27"/>
      <c r="R9" s="29" t="s">
        <v>163</v>
      </c>
      <c r="S9" s="28"/>
      <c r="T9" s="2"/>
      <c r="U9" s="2"/>
      <c r="V9" s="2"/>
      <c r="W9" s="2"/>
      <c r="X9" s="2"/>
      <c r="Y9" s="2"/>
      <c r="Z9" s="2"/>
      <c r="AA9" s="2"/>
    </row>
    <row r="10" spans="2:27">
      <c r="C10" s="20" t="s">
        <v>22</v>
      </c>
      <c r="D10" s="83">
        <f>1000000/(4*D95^2*D98^2*D9*0.000000000001)</f>
        <v>0.26182951889924666</v>
      </c>
      <c r="E10" s="84" t="s">
        <v>22</v>
      </c>
      <c r="F10" s="85">
        <f>1000000/(4*D95^2*D98^2*F9*0.000000000001)</f>
        <v>0.34208194264338471</v>
      </c>
      <c r="G10" s="86" t="s">
        <v>22</v>
      </c>
      <c r="H10" s="83">
        <f>1000000/(4*D95^2*D98^2*H9*0.000000000001)</f>
        <v>0.4236723606783927</v>
      </c>
      <c r="I10" s="86" t="s">
        <v>22</v>
      </c>
      <c r="J10" s="83">
        <f>1000000/(4*D95^2*D98^2*J9*0.000000000001)</f>
        <v>0.5058530117837069</v>
      </c>
      <c r="K10" s="86" t="s">
        <v>22</v>
      </c>
      <c r="L10" s="83">
        <f>1000000/(4*D95^2*D98^2*L9*0.000000000001)</f>
        <v>0.58838094134662178</v>
      </c>
      <c r="M10" s="86" t="s">
        <v>22</v>
      </c>
      <c r="N10" s="83">
        <f>1000000/(4*D95^2*D98^2*N9*0.000000000001)</f>
        <v>0.67135774076729915</v>
      </c>
      <c r="O10" s="86" t="s">
        <v>22</v>
      </c>
      <c r="P10" s="87">
        <f>1000000/(4*D95^2*D98^2*P9*0.000000000001)</f>
        <v>0.7539001407982916</v>
      </c>
      <c r="Q10" s="27"/>
      <c r="R10" s="29" t="s">
        <v>139</v>
      </c>
      <c r="S10" s="28"/>
      <c r="T10" s="2"/>
      <c r="U10" s="2"/>
      <c r="V10" s="2"/>
      <c r="W10" s="2"/>
      <c r="X10" s="2"/>
      <c r="Y10" s="2"/>
      <c r="Z10" s="2"/>
      <c r="AA10" s="2"/>
    </row>
    <row r="11" spans="2:27">
      <c r="C11" s="20" t="s">
        <v>59</v>
      </c>
      <c r="D11" s="88">
        <f>1000000000000/(4*D95^2*D98^2*D12*0.000001)</f>
        <v>52.365903779849326</v>
      </c>
      <c r="E11" s="89" t="s">
        <v>23</v>
      </c>
      <c r="F11" s="90">
        <f>1000000000000/(4*D95^2*D98^2*F12*0.000001)</f>
        <v>56.673056038797981</v>
      </c>
      <c r="G11" s="91" t="s">
        <v>23</v>
      </c>
      <c r="H11" s="88">
        <f>1000000000000/(4*D95^2*D98^2*H12*0.000001)</f>
        <v>64.729176489306951</v>
      </c>
      <c r="I11" s="91" t="s">
        <v>23</v>
      </c>
      <c r="J11" s="88">
        <f>1000000000000/(4*D95^2*D98^2*J12*0.000001)</f>
        <v>74.067756407141914</v>
      </c>
      <c r="K11" s="91" t="s">
        <v>23</v>
      </c>
      <c r="L11" s="88">
        <f>L19</f>
        <v>83.987014883479276</v>
      </c>
      <c r="M11" s="91" t="s">
        <v>23</v>
      </c>
      <c r="N11" s="88">
        <f>1000000000000/(4*D95^2*D98^2*N12*0.000001)</f>
        <v>94.268053609089705</v>
      </c>
      <c r="O11" s="91" t="s">
        <v>23</v>
      </c>
      <c r="P11" s="92">
        <f>1000000000000/(4*D95^2*D98^2*P12*0.000001)</f>
        <v>104.73180755969865</v>
      </c>
      <c r="Q11" s="27"/>
      <c r="R11" s="27" t="s">
        <v>176</v>
      </c>
      <c r="S11" s="28"/>
      <c r="T11" s="2"/>
      <c r="U11" s="2"/>
      <c r="V11" s="2"/>
      <c r="W11" s="2"/>
      <c r="X11" s="2"/>
      <c r="Y11" s="2"/>
      <c r="Z11" s="2"/>
      <c r="AA11" s="2"/>
    </row>
    <row r="12" spans="2:27">
      <c r="C12" s="20" t="s">
        <v>3</v>
      </c>
      <c r="D12" s="83">
        <f>2000000*(D101*D99)</f>
        <v>2.2736420467679483</v>
      </c>
      <c r="E12" s="89" t="s">
        <v>3</v>
      </c>
      <c r="F12" s="85">
        <f>(1.848/2)*D12</f>
        <v>2.1008452512135842</v>
      </c>
      <c r="G12" s="91" t="s">
        <v>3</v>
      </c>
      <c r="H12" s="83">
        <f>(1.618/2)*D12</f>
        <v>1.8393764158352703</v>
      </c>
      <c r="I12" s="91" t="s">
        <v>3</v>
      </c>
      <c r="J12" s="83">
        <f>(1.414/2)*D12</f>
        <v>1.6074649270649395</v>
      </c>
      <c r="K12" s="91" t="s">
        <v>3</v>
      </c>
      <c r="L12" s="83">
        <f>(1.247/2)*D12</f>
        <v>1.417615816159816</v>
      </c>
      <c r="M12" s="91" t="s">
        <v>3</v>
      </c>
      <c r="N12" s="83">
        <f>(1.111/2)*D12</f>
        <v>1.2630081569795952</v>
      </c>
      <c r="O12" s="91" t="s">
        <v>3</v>
      </c>
      <c r="P12" s="87">
        <f>D12/2</f>
        <v>1.1368210233839742</v>
      </c>
      <c r="Q12" s="27"/>
      <c r="R12" s="27" t="s">
        <v>191</v>
      </c>
      <c r="S12" s="28"/>
      <c r="T12" s="2"/>
      <c r="U12" s="2"/>
      <c r="V12" s="2"/>
      <c r="W12" s="2"/>
      <c r="X12" s="2"/>
      <c r="Y12" s="2"/>
      <c r="Z12" s="2"/>
      <c r="AA12" s="2"/>
    </row>
    <row r="13" spans="2:27">
      <c r="C13" s="20" t="s">
        <v>4</v>
      </c>
      <c r="D13" s="88">
        <f>D9</f>
        <v>454.72840935358965</v>
      </c>
      <c r="E13" s="89" t="s">
        <v>4</v>
      </c>
      <c r="F13" s="90">
        <f>1.848*D13</f>
        <v>840.33810048543376</v>
      </c>
      <c r="G13" s="91" t="s">
        <v>4</v>
      </c>
      <c r="H13" s="88">
        <f>2*D13</f>
        <v>909.45681870717931</v>
      </c>
      <c r="I13" s="91" t="s">
        <v>4</v>
      </c>
      <c r="J13" s="88">
        <f>1.932*D9</f>
        <v>878.53528687113521</v>
      </c>
      <c r="K13" s="91" t="s">
        <v>4</v>
      </c>
      <c r="L13" s="88">
        <f>1.802*D9</f>
        <v>819.42059365516855</v>
      </c>
      <c r="M13" s="91" t="s">
        <v>4</v>
      </c>
      <c r="N13" s="88">
        <f>1.663*D9</f>
        <v>756.21334475501965</v>
      </c>
      <c r="O13" s="91" t="s">
        <v>4</v>
      </c>
      <c r="P13" s="92">
        <f>1.532*D9</f>
        <v>696.64392312969937</v>
      </c>
      <c r="Q13" s="27"/>
      <c r="R13" s="27" t="s">
        <v>203</v>
      </c>
      <c r="S13" s="28"/>
      <c r="T13" s="2"/>
      <c r="U13" s="2"/>
      <c r="V13" s="2"/>
      <c r="W13" s="2"/>
      <c r="X13" s="2"/>
      <c r="Y13" s="2"/>
      <c r="Z13" s="2"/>
      <c r="AA13" s="2"/>
    </row>
    <row r="14" spans="2:27">
      <c r="C14" s="21" t="s">
        <v>56</v>
      </c>
      <c r="D14" s="94">
        <f>D10</f>
        <v>0.26182951889924666</v>
      </c>
      <c r="E14" s="89" t="s">
        <v>24</v>
      </c>
      <c r="F14" s="85">
        <f>1000000/(4*D95^2*D98^2*F13*0.000000000001)</f>
        <v>0.14168264009699491</v>
      </c>
      <c r="G14" s="91" t="s">
        <v>24</v>
      </c>
      <c r="H14" s="83">
        <f>1000000/(4*D95^2*D98^2*H13*0.000000000001)</f>
        <v>0.13091475944962333</v>
      </c>
      <c r="I14" s="91" t="s">
        <v>24</v>
      </c>
      <c r="J14" s="83">
        <f>1000000/(4*D95^2*D98^2*J13*0.000000000001)</f>
        <v>0.13552252531016909</v>
      </c>
      <c r="K14" s="91" t="s">
        <v>24</v>
      </c>
      <c r="L14" s="83">
        <f>1000000/(4*D95^2*D98^2*L13*0.000000000001)</f>
        <v>0.14529940005507583</v>
      </c>
      <c r="M14" s="91" t="s">
        <v>24</v>
      </c>
      <c r="N14" s="83">
        <f>1000000/(4*D95^2*D98^2*N13*0.000000000001)</f>
        <v>0.15744408833388251</v>
      </c>
      <c r="O14" s="91" t="s">
        <v>24</v>
      </c>
      <c r="P14" s="87">
        <f>1000000/(4*D95^2*D98^2*P13*0.000000000001)</f>
        <v>0.17090699667052656</v>
      </c>
      <c r="Q14" s="27"/>
      <c r="R14" s="27" t="s">
        <v>204</v>
      </c>
      <c r="S14" s="28"/>
      <c r="T14" s="2"/>
      <c r="U14" s="2"/>
      <c r="V14" s="2"/>
      <c r="W14" s="2"/>
      <c r="X14" s="2"/>
      <c r="Y14" s="2"/>
      <c r="Z14" s="2"/>
      <c r="AA14" s="2"/>
    </row>
    <row r="15" spans="2:27" ht="15" thickBot="1">
      <c r="C15" s="5"/>
      <c r="D15" s="46"/>
      <c r="E15" s="91" t="s">
        <v>25</v>
      </c>
      <c r="F15" s="90">
        <f>1000000000000/(4*D95^2*D98^2*F16*0.000001)</f>
        <v>136.83277705735387</v>
      </c>
      <c r="G15" s="91" t="s">
        <v>25</v>
      </c>
      <c r="H15" s="88">
        <f>H11</f>
        <v>64.729176489306951</v>
      </c>
      <c r="I15" s="91" t="s">
        <v>25</v>
      </c>
      <c r="J15" s="88">
        <f>1000000000000/(4*D95^2*D98^2*J16*0.000001)</f>
        <v>54.209010124067639</v>
      </c>
      <c r="K15" s="91" t="s">
        <v>25</v>
      </c>
      <c r="L15" s="88">
        <f>1000000000000/(4*D95^2*D98^2*L16*0.000001)</f>
        <v>52.365903779849326</v>
      </c>
      <c r="M15" s="91" t="s">
        <v>25</v>
      </c>
      <c r="N15" s="88">
        <f>1000000000000/(4*D95^2*D98^2*N16*0.000001)</f>
        <v>53.380126177216447</v>
      </c>
      <c r="O15" s="91" t="s">
        <v>25</v>
      </c>
      <c r="P15" s="92">
        <f>1000000000000/(4*D95^2*D98^2*P16*0.000001)</f>
        <v>55.738056178658148</v>
      </c>
      <c r="Q15" s="27"/>
      <c r="R15" s="17" t="s">
        <v>225</v>
      </c>
      <c r="S15" s="30"/>
      <c r="T15" s="2"/>
      <c r="U15" s="2"/>
      <c r="V15" s="2"/>
      <c r="W15" s="2"/>
      <c r="X15" s="2"/>
      <c r="Y15" s="2"/>
      <c r="Z15" s="2"/>
      <c r="AA15" s="2"/>
    </row>
    <row r="16" spans="2:27" ht="15" thickTop="1">
      <c r="C16" s="5"/>
      <c r="D16" s="46"/>
      <c r="E16" s="95" t="s">
        <v>7</v>
      </c>
      <c r="F16" s="96">
        <f>0.7654*D101*D99*1000000</f>
        <v>0.87012281129809388</v>
      </c>
      <c r="G16" s="86" t="s">
        <v>7</v>
      </c>
      <c r="H16" s="83">
        <f>H12</f>
        <v>1.8393764158352703</v>
      </c>
      <c r="I16" s="86" t="s">
        <v>7</v>
      </c>
      <c r="J16" s="83">
        <f>D101*D99*1000000*1.932</f>
        <v>2.1963382171778378</v>
      </c>
      <c r="K16" s="86" t="s">
        <v>7</v>
      </c>
      <c r="L16" s="83">
        <f>D12</f>
        <v>2.2736420467679483</v>
      </c>
      <c r="M16" s="86" t="s">
        <v>7</v>
      </c>
      <c r="N16" s="83">
        <f>D101*D99*1000000*1.962</f>
        <v>2.2304428478793574</v>
      </c>
      <c r="O16" s="86" t="s">
        <v>7</v>
      </c>
      <c r="P16" s="87">
        <f>D101*D99*1000000*1.879</f>
        <v>2.1360867029384876</v>
      </c>
      <c r="Q16" s="27"/>
      <c r="R16" s="46"/>
      <c r="S16" s="46"/>
      <c r="T16" s="2"/>
      <c r="U16" s="2"/>
      <c r="V16" s="2"/>
      <c r="W16" s="2"/>
      <c r="X16" s="2"/>
      <c r="Y16" s="2"/>
      <c r="Z16" s="2"/>
      <c r="AA16" s="2"/>
    </row>
    <row r="17" spans="3:27">
      <c r="C17" s="5"/>
      <c r="D17" s="46"/>
      <c r="E17" s="46"/>
      <c r="F17" s="46"/>
      <c r="G17" s="86" t="s">
        <v>8</v>
      </c>
      <c r="H17" s="88">
        <f>H9</f>
        <v>281.02215698051839</v>
      </c>
      <c r="I17" s="86" t="s">
        <v>8</v>
      </c>
      <c r="J17" s="88">
        <f>1.414*D9</f>
        <v>642.98597082597576</v>
      </c>
      <c r="K17" s="86" t="s">
        <v>8</v>
      </c>
      <c r="L17" s="88">
        <f>L13</f>
        <v>819.42059365516855</v>
      </c>
      <c r="M17" s="86" t="s">
        <v>8</v>
      </c>
      <c r="N17" s="88">
        <f>1.962*D9</f>
        <v>892.17713915174284</v>
      </c>
      <c r="O17" s="86" t="s">
        <v>8</v>
      </c>
      <c r="P17" s="92">
        <f>2*D9</f>
        <v>909.45681870717931</v>
      </c>
      <c r="Q17" s="27"/>
      <c r="R17" s="46"/>
      <c r="S17" s="46"/>
      <c r="T17" s="2"/>
      <c r="U17" s="2"/>
      <c r="V17" s="2"/>
      <c r="W17" s="2"/>
      <c r="X17" s="2"/>
      <c r="Y17" s="2"/>
      <c r="Z17" s="2"/>
      <c r="AA17" s="2"/>
    </row>
    <row r="18" spans="3:27">
      <c r="C18" s="5"/>
      <c r="D18" s="46"/>
      <c r="E18" s="46"/>
      <c r="F18" s="46"/>
      <c r="G18" s="97" t="s">
        <v>26</v>
      </c>
      <c r="H18" s="98">
        <f>H10</f>
        <v>0.4236723606783927</v>
      </c>
      <c r="I18" s="80" t="s">
        <v>26</v>
      </c>
      <c r="J18" s="83">
        <f>1000000/(4*D95^2*D98^2*J17*0.000000000001)</f>
        <v>0.18516939101785479</v>
      </c>
      <c r="K18" s="86" t="s">
        <v>26</v>
      </c>
      <c r="L18" s="83">
        <f>L14</f>
        <v>0.14529940005507583</v>
      </c>
      <c r="M18" s="86" t="s">
        <v>26</v>
      </c>
      <c r="N18" s="83">
        <f>1000000/(4*D95^2*D98^2*N17*0.000000000001)</f>
        <v>0.13345031544304112</v>
      </c>
      <c r="O18" s="86" t="s">
        <v>26</v>
      </c>
      <c r="P18" s="87">
        <f>1000000/(4*D95^2*D98^2*P17*0.000000000001)</f>
        <v>0.13091475944962333</v>
      </c>
      <c r="Q18" s="27"/>
      <c r="R18" s="46"/>
      <c r="S18" s="46"/>
      <c r="T18" s="2"/>
      <c r="U18" s="2"/>
      <c r="V18" s="2"/>
      <c r="W18" s="2"/>
      <c r="X18" s="2"/>
      <c r="Y18" s="2"/>
      <c r="Z18" s="2"/>
      <c r="AA18" s="2"/>
    </row>
    <row r="19" spans="3:27">
      <c r="C19" s="5"/>
      <c r="D19" s="46"/>
      <c r="E19" s="46"/>
      <c r="F19" s="46"/>
      <c r="G19" s="46"/>
      <c r="H19" s="46"/>
      <c r="I19" s="86" t="s">
        <v>27</v>
      </c>
      <c r="J19" s="88">
        <f>1000000000000/(4*D95^2*D98^2*J20*0.000001)</f>
        <v>202.34120471348271</v>
      </c>
      <c r="K19" s="86" t="s">
        <v>27</v>
      </c>
      <c r="L19" s="88">
        <f>1000000000000/(4*D95^2*D98^2*L20*0.000001)</f>
        <v>83.987014883479276</v>
      </c>
      <c r="M19" s="86" t="s">
        <v>27</v>
      </c>
      <c r="N19" s="88">
        <f>1000000000000/(4*D95^2*D98^2*N20*0.000001)</f>
        <v>62.977635333553017</v>
      </c>
      <c r="O19" s="86" t="s">
        <v>27</v>
      </c>
      <c r="P19" s="92">
        <f>P15</f>
        <v>55.738056178658148</v>
      </c>
      <c r="Q19" s="27"/>
      <c r="R19" s="46"/>
      <c r="S19" s="46"/>
      <c r="T19" s="2"/>
      <c r="U19" s="2"/>
      <c r="V19" s="2"/>
      <c r="W19" s="2"/>
      <c r="X19" s="2"/>
      <c r="Y19" s="2"/>
      <c r="Z19" s="2"/>
      <c r="AA19" s="2"/>
    </row>
    <row r="20" spans="3:27">
      <c r="C20" s="5"/>
      <c r="D20" s="46"/>
      <c r="E20" s="46"/>
      <c r="F20" s="46"/>
      <c r="G20" s="46"/>
      <c r="H20" s="46"/>
      <c r="I20" s="97" t="s">
        <v>10</v>
      </c>
      <c r="J20" s="98">
        <f>D101*D99*1000000*0.5176</f>
        <v>0.58841856170354501</v>
      </c>
      <c r="K20" s="86" t="s">
        <v>10</v>
      </c>
      <c r="L20" s="83">
        <f>L12</f>
        <v>1.417615816159816</v>
      </c>
      <c r="M20" s="86" t="s">
        <v>10</v>
      </c>
      <c r="N20" s="83">
        <f>D101*D99*1000000*1.663</f>
        <v>1.8905333618875491</v>
      </c>
      <c r="O20" s="86" t="s">
        <v>10</v>
      </c>
      <c r="P20" s="87">
        <f>P16</f>
        <v>2.1360867029384876</v>
      </c>
      <c r="Q20" s="27"/>
      <c r="R20" s="46"/>
      <c r="S20" s="46"/>
      <c r="T20" s="2"/>
      <c r="U20" s="2"/>
      <c r="V20" s="2"/>
      <c r="W20" s="2"/>
      <c r="X20" s="2"/>
      <c r="Y20" s="2"/>
      <c r="Z20" s="2"/>
      <c r="AA20" s="2"/>
    </row>
    <row r="21" spans="3:27">
      <c r="C21" s="5"/>
      <c r="D21" s="46"/>
      <c r="E21" s="46"/>
      <c r="F21" s="46"/>
      <c r="G21" s="46"/>
      <c r="H21" s="46"/>
      <c r="I21" s="46"/>
      <c r="J21" s="46"/>
      <c r="K21" s="91" t="s">
        <v>11</v>
      </c>
      <c r="L21" s="88">
        <f>L9</f>
        <v>202.35414216234739</v>
      </c>
      <c r="M21" s="91" t="s">
        <v>11</v>
      </c>
      <c r="N21" s="88">
        <f>1.111*D9</f>
        <v>505.20326279183809</v>
      </c>
      <c r="O21" s="91" t="s">
        <v>11</v>
      </c>
      <c r="P21" s="92">
        <f>P13</f>
        <v>696.64392312969937</v>
      </c>
      <c r="Q21" s="27"/>
      <c r="R21" s="46"/>
      <c r="S21" s="46"/>
      <c r="T21" s="2"/>
      <c r="U21" s="2"/>
      <c r="V21" s="2"/>
      <c r="W21" s="2"/>
      <c r="X21" s="2"/>
      <c r="Y21" s="2"/>
      <c r="Z21" s="2"/>
      <c r="AA21" s="2"/>
    </row>
    <row r="22" spans="3:27">
      <c r="C22" s="5"/>
      <c r="D22" s="46"/>
      <c r="E22" s="46"/>
      <c r="F22" s="46"/>
      <c r="G22" s="46"/>
      <c r="H22" s="46"/>
      <c r="I22" s="46"/>
      <c r="J22" s="46"/>
      <c r="K22" s="99" t="s">
        <v>28</v>
      </c>
      <c r="L22" s="98">
        <f>L10</f>
        <v>0.58838094134662178</v>
      </c>
      <c r="M22" s="91" t="s">
        <v>28</v>
      </c>
      <c r="N22" s="83">
        <f>1000000/(4*D95^2*D98^2*N21*0.000000000001)</f>
        <v>0.2356701340227243</v>
      </c>
      <c r="O22" s="91" t="s">
        <v>28</v>
      </c>
      <c r="P22" s="87">
        <f>P14</f>
        <v>0.17090699667052656</v>
      </c>
      <c r="Q22" s="27"/>
      <c r="R22" s="46"/>
      <c r="S22" s="46"/>
      <c r="T22" s="2"/>
      <c r="U22" s="2"/>
      <c r="V22" s="2"/>
      <c r="W22" s="2"/>
      <c r="X22" s="2"/>
      <c r="Y22" s="2"/>
      <c r="Z22" s="2"/>
      <c r="AA22" s="2"/>
    </row>
    <row r="23" spans="3:27">
      <c r="C23" s="5"/>
      <c r="D23" s="46"/>
      <c r="E23" s="46"/>
      <c r="F23" s="46"/>
      <c r="G23" s="46"/>
      <c r="H23" s="46"/>
      <c r="I23" s="46"/>
      <c r="J23" s="46"/>
      <c r="K23" s="46"/>
      <c r="L23" s="46"/>
      <c r="M23" s="91" t="s">
        <v>29</v>
      </c>
      <c r="N23" s="88">
        <f>1000000000000/(4*D95^2*D98^2*N24*0.000001)</f>
        <v>268.4054524851324</v>
      </c>
      <c r="O23" s="91" t="s">
        <v>29</v>
      </c>
      <c r="P23" s="92">
        <f>P11</f>
        <v>104.73180755969865</v>
      </c>
      <c r="Q23" s="27"/>
      <c r="R23" s="46"/>
      <c r="S23" s="46"/>
      <c r="T23" s="2"/>
      <c r="U23" s="2"/>
      <c r="V23" s="2"/>
      <c r="W23" s="2"/>
      <c r="X23" s="2"/>
      <c r="Y23" s="2"/>
      <c r="Z23" s="2"/>
      <c r="AA23" s="2"/>
    </row>
    <row r="24" spans="3:27">
      <c r="C24" s="5"/>
      <c r="D24" s="46"/>
      <c r="E24" s="46"/>
      <c r="F24" s="46"/>
      <c r="G24" s="46"/>
      <c r="H24" s="46"/>
      <c r="I24" s="46"/>
      <c r="J24" s="46"/>
      <c r="K24" s="46"/>
      <c r="L24" s="46"/>
      <c r="M24" s="99" t="s">
        <v>12</v>
      </c>
      <c r="N24" s="98">
        <f>D99*D101*1000000*0.3902</f>
        <v>0.44358756332442673</v>
      </c>
      <c r="O24" s="91" t="s">
        <v>12</v>
      </c>
      <c r="P24" s="87">
        <f>P12</f>
        <v>1.1368210233839742</v>
      </c>
      <c r="Q24" s="27"/>
      <c r="R24" s="46"/>
      <c r="S24" s="46"/>
      <c r="T24" s="2"/>
      <c r="U24" s="2"/>
      <c r="V24" s="2"/>
      <c r="W24" s="2"/>
      <c r="X24" s="2"/>
      <c r="Y24" s="2"/>
      <c r="Z24" s="2"/>
      <c r="AA24" s="2"/>
    </row>
    <row r="25" spans="3:27">
      <c r="C25" s="5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86" t="s">
        <v>38</v>
      </c>
      <c r="P25" s="92">
        <f>P9</f>
        <v>157.92717656850169</v>
      </c>
      <c r="Q25" s="27"/>
      <c r="R25" s="46"/>
      <c r="S25" s="46"/>
      <c r="T25" s="2"/>
      <c r="U25" s="2"/>
      <c r="V25" s="2"/>
      <c r="W25" s="2"/>
      <c r="X25" s="2"/>
      <c r="Y25" s="2"/>
      <c r="Z25" s="2"/>
      <c r="AA25" s="2"/>
    </row>
    <row r="26" spans="3:27" ht="15" thickBot="1">
      <c r="C26" s="7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100" t="s">
        <v>30</v>
      </c>
      <c r="P26" s="101">
        <f>P10</f>
        <v>0.7539001407982916</v>
      </c>
      <c r="Q26" s="27"/>
      <c r="R26" s="46"/>
      <c r="S26" s="46"/>
      <c r="T26" s="2"/>
      <c r="U26" s="2"/>
      <c r="V26" s="2"/>
      <c r="W26" s="2"/>
      <c r="X26" s="2"/>
      <c r="Y26" s="2"/>
      <c r="Z26" s="2"/>
      <c r="AA26" s="2"/>
    </row>
    <row r="27" spans="3:27" ht="15.6" thickTop="1" thickBot="1">
      <c r="C27" s="4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2"/>
      <c r="U27" s="2"/>
      <c r="V27" s="2"/>
      <c r="W27" s="2"/>
      <c r="X27" s="2"/>
      <c r="Y27" s="2"/>
      <c r="Z27" s="2"/>
      <c r="AA27" s="2"/>
    </row>
    <row r="28" spans="3:27" ht="15" thickTop="1">
      <c r="C28" s="3"/>
      <c r="D28" s="14" t="s">
        <v>46</v>
      </c>
      <c r="E28" s="12" t="s">
        <v>67</v>
      </c>
      <c r="F28" s="14"/>
      <c r="G28" s="12" t="s">
        <v>65</v>
      </c>
      <c r="H28" s="14"/>
      <c r="I28" s="12" t="s">
        <v>68</v>
      </c>
      <c r="J28" s="13"/>
      <c r="K28" s="14" t="s">
        <v>69</v>
      </c>
      <c r="L28" s="14"/>
      <c r="M28" s="12" t="s">
        <v>62</v>
      </c>
      <c r="N28" s="13"/>
      <c r="O28" s="14" t="s">
        <v>70</v>
      </c>
      <c r="P28" s="14"/>
      <c r="Q28" s="27"/>
      <c r="R28" s="46"/>
      <c r="S28" s="46"/>
      <c r="T28" s="2"/>
      <c r="U28" s="2"/>
      <c r="V28" s="2"/>
      <c r="W28" s="2"/>
      <c r="X28" s="2"/>
      <c r="Y28" s="2"/>
      <c r="Z28" s="2"/>
      <c r="AA28" s="2"/>
    </row>
    <row r="29" spans="3:27">
      <c r="C29" s="22" t="s">
        <v>2</v>
      </c>
      <c r="D29" s="78">
        <f>1000000000000/(4*D95^2*D98^2*D30*0.000001)</f>
        <v>104.73180755969865</v>
      </c>
      <c r="E29" s="80" t="s">
        <v>2</v>
      </c>
      <c r="F29" s="81">
        <f>F15</f>
        <v>136.83277705735387</v>
      </c>
      <c r="G29" s="80" t="s">
        <v>2</v>
      </c>
      <c r="H29" s="81">
        <f>1000000000000/(4*D95^2*D98^2*H30*0.000001)</f>
        <v>169.46894427135706</v>
      </c>
      <c r="I29" s="79" t="s">
        <v>2</v>
      </c>
      <c r="J29" s="77">
        <f>J19</f>
        <v>202.34120471348271</v>
      </c>
      <c r="K29" s="80" t="s">
        <v>2</v>
      </c>
      <c r="L29" s="81">
        <f>1000000000000/(4*D95^2*D98^2*L30*0.000001)</f>
        <v>235.35237653864866</v>
      </c>
      <c r="M29" s="80" t="s">
        <v>2</v>
      </c>
      <c r="N29" s="102">
        <f>N23</f>
        <v>268.4054524851324</v>
      </c>
      <c r="O29" s="80" t="s">
        <v>2</v>
      </c>
      <c r="P29" s="81">
        <f>1000000000000/(4*D95^2*D98^2*P30*0.000001)</f>
        <v>301.56005631931663</v>
      </c>
      <c r="Q29" s="27"/>
      <c r="R29" s="46"/>
      <c r="S29" s="46"/>
      <c r="T29" s="2"/>
      <c r="U29" s="2"/>
      <c r="V29" s="2"/>
      <c r="W29" s="2"/>
      <c r="X29" s="2"/>
      <c r="Y29" s="2"/>
      <c r="Z29" s="2"/>
      <c r="AA29" s="2"/>
    </row>
    <row r="30" spans="3:27">
      <c r="C30" s="20" t="s">
        <v>22</v>
      </c>
      <c r="D30" s="85">
        <f>E88</f>
        <v>1.1368210233839742</v>
      </c>
      <c r="E30" s="86" t="s">
        <v>22</v>
      </c>
      <c r="F30" s="85">
        <f>F16</f>
        <v>0.87012281129809388</v>
      </c>
      <c r="G30" s="86" t="s">
        <v>22</v>
      </c>
      <c r="H30" s="83">
        <f>0.618*E88</f>
        <v>0.70255539245129606</v>
      </c>
      <c r="I30" s="86" t="s">
        <v>22</v>
      </c>
      <c r="J30" s="83">
        <f>J20</f>
        <v>0.58841856170354501</v>
      </c>
      <c r="K30" s="86" t="s">
        <v>22</v>
      </c>
      <c r="L30" s="85">
        <f>0.445*E88</f>
        <v>0.50588535540586854</v>
      </c>
      <c r="M30" s="86" t="s">
        <v>22</v>
      </c>
      <c r="N30" s="83">
        <f>N24</f>
        <v>0.44358756332442673</v>
      </c>
      <c r="O30" s="86" t="s">
        <v>22</v>
      </c>
      <c r="P30" s="87">
        <f>0.3473*E88</f>
        <v>0.3948179414212542</v>
      </c>
      <c r="Q30" s="27"/>
      <c r="R30" s="46"/>
      <c r="S30" s="46"/>
      <c r="T30" s="2"/>
      <c r="U30" s="2"/>
      <c r="V30" s="2"/>
      <c r="W30" s="2"/>
      <c r="X30" s="2"/>
      <c r="Y30" s="2"/>
      <c r="Z30" s="2"/>
      <c r="AA30" s="2"/>
    </row>
    <row r="31" spans="3:27">
      <c r="C31" s="20" t="s">
        <v>23</v>
      </c>
      <c r="D31" s="90">
        <f>2*E87</f>
        <v>909.45681870717931</v>
      </c>
      <c r="E31" s="86" t="s">
        <v>23</v>
      </c>
      <c r="F31" s="90">
        <f>F13</f>
        <v>840.33810048543376</v>
      </c>
      <c r="G31" s="86" t="s">
        <v>23</v>
      </c>
      <c r="H31" s="88">
        <f>1.618*E87</f>
        <v>735.75056633410816</v>
      </c>
      <c r="I31" s="86" t="s">
        <v>23</v>
      </c>
      <c r="J31" s="88">
        <f>J17</f>
        <v>642.98597082597576</v>
      </c>
      <c r="K31" s="86" t="s">
        <v>23</v>
      </c>
      <c r="L31" s="90">
        <f>1.247*E87</f>
        <v>567.04632646392633</v>
      </c>
      <c r="M31" s="86" t="s">
        <v>23</v>
      </c>
      <c r="N31" s="88">
        <f>N21</f>
        <v>505.20326279183809</v>
      </c>
      <c r="O31" s="86" t="s">
        <v>23</v>
      </c>
      <c r="P31" s="92">
        <f>1*E87</f>
        <v>454.72840935358965</v>
      </c>
      <c r="Q31" s="27"/>
      <c r="R31" s="46"/>
      <c r="S31" s="46"/>
      <c r="T31" s="2"/>
      <c r="U31" s="2"/>
      <c r="V31" s="2"/>
      <c r="W31" s="2"/>
      <c r="X31" s="2"/>
      <c r="Y31" s="2"/>
      <c r="Z31" s="2"/>
      <c r="AA31" s="2"/>
    </row>
    <row r="32" spans="3:27">
      <c r="C32" s="23" t="s">
        <v>3</v>
      </c>
      <c r="D32" s="85">
        <f>1000000/(4*D95^2*D98^2*D31*0.000000000001)</f>
        <v>0.13091475944962333</v>
      </c>
      <c r="E32" s="91" t="s">
        <v>3</v>
      </c>
      <c r="F32" s="85">
        <f>F14</f>
        <v>0.14168264009699491</v>
      </c>
      <c r="G32" s="91" t="s">
        <v>3</v>
      </c>
      <c r="H32" s="83">
        <f>1000000/(4*D95^2*D98^2*H31*0.000000000001)</f>
        <v>0.16182294122326737</v>
      </c>
      <c r="I32" s="91" t="s">
        <v>3</v>
      </c>
      <c r="J32" s="83">
        <f>J18</f>
        <v>0.18516939101785479</v>
      </c>
      <c r="K32" s="91" t="s">
        <v>3</v>
      </c>
      <c r="L32" s="85">
        <f>1000000/(4*D95^2*D98^2*L31*0.000000000001)</f>
        <v>0.20996753720869818</v>
      </c>
      <c r="M32" s="91" t="s">
        <v>3</v>
      </c>
      <c r="N32" s="83">
        <f>N22</f>
        <v>0.2356701340227243</v>
      </c>
      <c r="O32" s="91" t="s">
        <v>3</v>
      </c>
      <c r="P32" s="87">
        <f>1000000/(4*D95^2*D98^2*P31*0.000000000001)</f>
        <v>0.26182951889924666</v>
      </c>
      <c r="Q32" s="27"/>
      <c r="R32" s="46"/>
      <c r="S32" s="46"/>
      <c r="T32" s="2"/>
      <c r="U32" s="2"/>
      <c r="V32" s="2"/>
      <c r="W32" s="2"/>
      <c r="X32" s="2"/>
      <c r="Y32" s="2"/>
      <c r="Z32" s="2"/>
      <c r="AA32" s="2"/>
    </row>
    <row r="33" spans="3:27">
      <c r="C33" s="23" t="s">
        <v>4</v>
      </c>
      <c r="D33" s="90">
        <f>D29</f>
        <v>104.73180755969865</v>
      </c>
      <c r="E33" s="91" t="s">
        <v>4</v>
      </c>
      <c r="F33" s="90">
        <f>F11</f>
        <v>56.673056038797981</v>
      </c>
      <c r="G33" s="91" t="s">
        <v>4</v>
      </c>
      <c r="H33" s="88">
        <f>1000000000000/(4*D98^2*D95^2*H34*0.000001)</f>
        <v>52.365903779849326</v>
      </c>
      <c r="I33" s="91" t="s">
        <v>4</v>
      </c>
      <c r="J33" s="88">
        <f>J15</f>
        <v>54.209010124067639</v>
      </c>
      <c r="K33" s="91" t="s">
        <v>4</v>
      </c>
      <c r="L33" s="90">
        <f>1000000000000/(4*D95^2*D98^2*L34*0.000001)</f>
        <v>58.119760022030334</v>
      </c>
      <c r="M33" s="91" t="s">
        <v>4</v>
      </c>
      <c r="N33" s="88">
        <f>N19</f>
        <v>62.977635333553017</v>
      </c>
      <c r="O33" s="91" t="s">
        <v>4</v>
      </c>
      <c r="P33" s="92">
        <f>1000000000000/(4*D95^2*D98^2*P34*0.000001)</f>
        <v>68.362798668210615</v>
      </c>
      <c r="Q33" s="27"/>
      <c r="R33" s="46"/>
      <c r="S33" s="46"/>
      <c r="T33" s="2"/>
      <c r="U33" s="2"/>
      <c r="V33" s="2"/>
      <c r="W33" s="2"/>
      <c r="X33" s="2"/>
      <c r="Y33" s="2"/>
      <c r="Z33" s="2"/>
      <c r="AA33" s="2"/>
    </row>
    <row r="34" spans="3:27">
      <c r="C34" s="24" t="s">
        <v>24</v>
      </c>
      <c r="D34" s="94">
        <f>D30</f>
        <v>1.1368210233839742</v>
      </c>
      <c r="E34" s="91" t="s">
        <v>24</v>
      </c>
      <c r="F34" s="85">
        <f>F12</f>
        <v>2.1008452512135842</v>
      </c>
      <c r="G34" s="91" t="s">
        <v>24</v>
      </c>
      <c r="H34" s="83">
        <f>2*E88</f>
        <v>2.2736420467679483</v>
      </c>
      <c r="I34" s="91" t="s">
        <v>24</v>
      </c>
      <c r="J34" s="83">
        <f>J16</f>
        <v>2.1963382171778378</v>
      </c>
      <c r="K34" s="91" t="s">
        <v>24</v>
      </c>
      <c r="L34" s="85">
        <f>1.802*E88</f>
        <v>2.0485514841379215</v>
      </c>
      <c r="M34" s="91" t="s">
        <v>24</v>
      </c>
      <c r="N34" s="83">
        <f>N20</f>
        <v>1.8905333618875491</v>
      </c>
      <c r="O34" s="91" t="s">
        <v>24</v>
      </c>
      <c r="P34" s="87">
        <f>1.532*E88</f>
        <v>1.7416098078242486</v>
      </c>
      <c r="Q34" s="27"/>
      <c r="R34" s="46"/>
      <c r="S34" s="46"/>
      <c r="T34" s="2"/>
      <c r="U34" s="2"/>
      <c r="V34" s="2"/>
      <c r="W34" s="2"/>
      <c r="X34" s="2"/>
      <c r="Y34" s="2"/>
      <c r="Z34" s="2"/>
      <c r="AA34" s="2"/>
    </row>
    <row r="35" spans="3:27">
      <c r="C35" s="5"/>
      <c r="D35" s="46"/>
      <c r="E35" s="86" t="s">
        <v>25</v>
      </c>
      <c r="F35" s="90">
        <f>F9</f>
        <v>348.04912451923752</v>
      </c>
      <c r="G35" s="86" t="s">
        <v>25</v>
      </c>
      <c r="H35" s="88">
        <f>H31</f>
        <v>735.75056633410816</v>
      </c>
      <c r="I35" s="86" t="s">
        <v>25</v>
      </c>
      <c r="J35" s="88">
        <f>J13</f>
        <v>878.53528687113521</v>
      </c>
      <c r="K35" s="86" t="s">
        <v>25</v>
      </c>
      <c r="L35" s="90">
        <f>2*E87</f>
        <v>909.45681870717931</v>
      </c>
      <c r="M35" s="86" t="s">
        <v>25</v>
      </c>
      <c r="N35" s="88">
        <f>N17</f>
        <v>892.17713915174284</v>
      </c>
      <c r="O35" s="86" t="s">
        <v>25</v>
      </c>
      <c r="P35" s="92">
        <f>1.879*E87</f>
        <v>854.43468117539499</v>
      </c>
      <c r="Q35" s="27"/>
      <c r="R35" s="46"/>
      <c r="S35" s="46"/>
      <c r="T35" s="2"/>
      <c r="U35" s="2"/>
      <c r="V35" s="2"/>
      <c r="W35" s="2"/>
      <c r="X35" s="2"/>
      <c r="Y35" s="2"/>
      <c r="Z35" s="2"/>
    </row>
    <row r="36" spans="3:27">
      <c r="C36" s="5"/>
      <c r="D36" s="46"/>
      <c r="E36" s="97" t="s">
        <v>7</v>
      </c>
      <c r="F36" s="105">
        <f>F10</f>
        <v>0.34208194264338471</v>
      </c>
      <c r="G36" s="80" t="s">
        <v>66</v>
      </c>
      <c r="H36" s="106">
        <f>1000000/(4*D95^2*D98^2*H35*0.000000000001)</f>
        <v>0.16182294122326737</v>
      </c>
      <c r="I36" s="86" t="s">
        <v>7</v>
      </c>
      <c r="J36" s="83">
        <f>J14</f>
        <v>0.13552252531016909</v>
      </c>
      <c r="K36" s="86" t="s">
        <v>7</v>
      </c>
      <c r="L36" s="85">
        <f>1000000/(4*D95^2*D98^2*L35*0.000000000001)</f>
        <v>0.13091475944962333</v>
      </c>
      <c r="M36" s="86" t="s">
        <v>7</v>
      </c>
      <c r="N36" s="83">
        <f>N18</f>
        <v>0.13345031544304112</v>
      </c>
      <c r="O36" s="86" t="s">
        <v>7</v>
      </c>
      <c r="P36" s="87">
        <f>1000000/(4*D95^2*D98^2*P35*0.000000000001)</f>
        <v>0.13934514044664537</v>
      </c>
      <c r="Q36" s="27"/>
      <c r="R36" s="46"/>
      <c r="S36" s="46"/>
      <c r="T36" s="2"/>
      <c r="U36" s="2"/>
      <c r="V36" s="2"/>
      <c r="W36" s="2"/>
      <c r="X36" s="2"/>
      <c r="Y36" s="2"/>
      <c r="Z36" s="2"/>
    </row>
    <row r="37" spans="3:27">
      <c r="C37" s="5"/>
      <c r="D37" s="58"/>
      <c r="E37" s="58"/>
      <c r="F37" s="58"/>
      <c r="G37" s="86" t="s">
        <v>8</v>
      </c>
      <c r="H37" s="88">
        <f>H29</f>
        <v>169.46894427135706</v>
      </c>
      <c r="I37" s="86" t="s">
        <v>8</v>
      </c>
      <c r="J37" s="88">
        <f>J11</f>
        <v>74.067756407141914</v>
      </c>
      <c r="K37" s="86" t="s">
        <v>8</v>
      </c>
      <c r="L37" s="90">
        <f>1000000000000/(4*D95^2*D98^2*L38*0.000001)</f>
        <v>58.119760022030334</v>
      </c>
      <c r="M37" s="86" t="s">
        <v>8</v>
      </c>
      <c r="N37" s="88">
        <f>N15</f>
        <v>53.380126177216447</v>
      </c>
      <c r="O37" s="86" t="s">
        <v>8</v>
      </c>
      <c r="P37" s="92">
        <f>1000000000000/(4*D95^2*D98^2*P38*0.000001)</f>
        <v>52.365903779849326</v>
      </c>
      <c r="Q37" s="27"/>
      <c r="R37" s="58"/>
      <c r="S37" s="58"/>
    </row>
    <row r="38" spans="3:27">
      <c r="C38" s="5"/>
      <c r="D38" s="58"/>
      <c r="E38" s="58"/>
      <c r="F38" s="58"/>
      <c r="G38" s="97" t="s">
        <v>26</v>
      </c>
      <c r="H38" s="105">
        <f>H30</f>
        <v>0.70255539245129606</v>
      </c>
      <c r="I38" s="86" t="s">
        <v>26</v>
      </c>
      <c r="J38" s="83">
        <f>J12</f>
        <v>1.6074649270649395</v>
      </c>
      <c r="K38" s="86" t="s">
        <v>26</v>
      </c>
      <c r="L38" s="85">
        <f>L34</f>
        <v>2.0485514841379215</v>
      </c>
      <c r="M38" s="86" t="s">
        <v>26</v>
      </c>
      <c r="N38" s="83">
        <f>N16</f>
        <v>2.2304428478793574</v>
      </c>
      <c r="O38" s="86" t="s">
        <v>26</v>
      </c>
      <c r="P38" s="87">
        <f>2*E88</f>
        <v>2.2736420467679483</v>
      </c>
      <c r="Q38" s="27"/>
      <c r="R38" s="58"/>
      <c r="S38" s="58"/>
    </row>
    <row r="39" spans="3:27">
      <c r="C39" s="5"/>
      <c r="D39" s="58"/>
      <c r="E39" s="58"/>
      <c r="F39" s="58"/>
      <c r="G39" s="58"/>
      <c r="H39" s="58"/>
      <c r="I39" s="86" t="s">
        <v>27</v>
      </c>
      <c r="J39" s="88">
        <f>J9</f>
        <v>235.36742468141799</v>
      </c>
      <c r="K39" s="86" t="s">
        <v>27</v>
      </c>
      <c r="L39" s="90">
        <f>L31</f>
        <v>567.04632646392633</v>
      </c>
      <c r="M39" s="86" t="s">
        <v>27</v>
      </c>
      <c r="N39" s="88">
        <f>N13</f>
        <v>756.21334475501965</v>
      </c>
      <c r="O39" s="86" t="s">
        <v>27</v>
      </c>
      <c r="P39" s="92">
        <f>P35</f>
        <v>854.43468117539499</v>
      </c>
      <c r="Q39" s="27"/>
      <c r="R39" s="58"/>
      <c r="S39" s="58"/>
    </row>
    <row r="40" spans="3:27">
      <c r="C40" s="5"/>
      <c r="D40" s="58"/>
      <c r="E40" s="58"/>
      <c r="F40" s="58"/>
      <c r="G40" s="58"/>
      <c r="H40" s="58"/>
      <c r="I40" s="97" t="s">
        <v>10</v>
      </c>
      <c r="J40" s="105">
        <f>J10</f>
        <v>0.5058530117837069</v>
      </c>
      <c r="K40" s="86" t="s">
        <v>10</v>
      </c>
      <c r="L40" s="85">
        <f>L32</f>
        <v>0.20996753720869818</v>
      </c>
      <c r="M40" s="86" t="s">
        <v>10</v>
      </c>
      <c r="N40" s="83">
        <f>N14</f>
        <v>0.15744408833388251</v>
      </c>
      <c r="O40" s="86" t="s">
        <v>10</v>
      </c>
      <c r="P40" s="87">
        <f>P36</f>
        <v>0.13934514044664537</v>
      </c>
      <c r="Q40" s="27"/>
      <c r="R40" s="58"/>
      <c r="S40" s="58"/>
    </row>
    <row r="41" spans="3:27">
      <c r="C41" s="5"/>
      <c r="D41" s="58"/>
      <c r="E41" s="58"/>
      <c r="F41" s="58"/>
      <c r="G41" s="58"/>
      <c r="H41" s="58"/>
      <c r="I41" s="58"/>
      <c r="J41" s="58"/>
      <c r="K41" s="86" t="s">
        <v>11</v>
      </c>
      <c r="L41" s="90">
        <f>L29</f>
        <v>235.35237653864866</v>
      </c>
      <c r="M41" s="86" t="s">
        <v>11</v>
      </c>
      <c r="N41" s="88">
        <f>N11</f>
        <v>94.268053609089705</v>
      </c>
      <c r="O41" s="86" t="s">
        <v>11</v>
      </c>
      <c r="P41" s="92">
        <f>P33</f>
        <v>68.362798668210615</v>
      </c>
      <c r="Q41" s="27"/>
      <c r="R41" s="58"/>
      <c r="S41" s="58"/>
    </row>
    <row r="42" spans="3:27">
      <c r="C42" s="5"/>
      <c r="D42" s="58"/>
      <c r="E42" s="58"/>
      <c r="F42" s="58"/>
      <c r="G42" s="58"/>
      <c r="H42" s="58"/>
      <c r="I42" s="58"/>
      <c r="J42" s="58"/>
      <c r="K42" s="97" t="s">
        <v>28</v>
      </c>
      <c r="L42" s="98">
        <f>L30</f>
        <v>0.50588535540586854</v>
      </c>
      <c r="M42" s="86" t="s">
        <v>28</v>
      </c>
      <c r="N42" s="83">
        <f>N12</f>
        <v>1.2630081569795952</v>
      </c>
      <c r="O42" s="86" t="s">
        <v>28</v>
      </c>
      <c r="P42" s="87">
        <f>P34</f>
        <v>1.7416098078242486</v>
      </c>
      <c r="Q42" s="27"/>
      <c r="R42" s="58"/>
      <c r="S42" s="58"/>
    </row>
    <row r="43" spans="3:27">
      <c r="C43" s="5"/>
      <c r="D43" s="58"/>
      <c r="E43" s="58"/>
      <c r="F43" s="58"/>
      <c r="G43" s="58"/>
      <c r="H43" s="58"/>
      <c r="I43" s="58"/>
      <c r="J43" s="58"/>
      <c r="K43" s="58"/>
      <c r="L43" s="58"/>
      <c r="M43" s="86" t="s">
        <v>29</v>
      </c>
      <c r="N43" s="88">
        <f>N9</f>
        <v>177.34407964789997</v>
      </c>
      <c r="O43" s="86" t="s">
        <v>29</v>
      </c>
      <c r="P43" s="92">
        <f>P31</f>
        <v>454.72840935358965</v>
      </c>
      <c r="Q43" s="27"/>
      <c r="R43" s="58"/>
      <c r="S43" s="58"/>
    </row>
    <row r="44" spans="3:27">
      <c r="C44" s="5"/>
      <c r="D44" s="58"/>
      <c r="E44" s="58"/>
      <c r="F44" s="58"/>
      <c r="G44" s="58"/>
      <c r="H44" s="58"/>
      <c r="I44" s="58"/>
      <c r="J44" s="58"/>
      <c r="K44" s="58"/>
      <c r="L44" s="58"/>
      <c r="M44" s="97" t="s">
        <v>12</v>
      </c>
      <c r="N44" s="105">
        <f>N10</f>
        <v>0.67135774076729915</v>
      </c>
      <c r="O44" s="86" t="s">
        <v>12</v>
      </c>
      <c r="P44" s="87">
        <f>P32</f>
        <v>0.26182951889924666</v>
      </c>
      <c r="Q44" s="27"/>
      <c r="R44" s="58"/>
      <c r="S44" s="58"/>
    </row>
    <row r="45" spans="3:27">
      <c r="C45" s="5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86" t="s">
        <v>38</v>
      </c>
      <c r="P45" s="92">
        <f>P29</f>
        <v>301.56005631931663</v>
      </c>
      <c r="Q45" s="27"/>
      <c r="R45" s="58"/>
      <c r="S45" s="58"/>
    </row>
    <row r="46" spans="3:27" ht="15" thickBot="1">
      <c r="C46" s="7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100" t="s">
        <v>30</v>
      </c>
      <c r="P46" s="107">
        <f>P30</f>
        <v>0.3948179414212542</v>
      </c>
      <c r="Q46" s="27"/>
      <c r="R46" s="58"/>
      <c r="S46" s="58"/>
    </row>
    <row r="47" spans="3:27" ht="15" thickTop="1">
      <c r="C47" s="4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</row>
    <row r="48" spans="3:27">
      <c r="C48" s="2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</row>
    <row r="49" spans="4:19"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</row>
    <row r="50" spans="4:19"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</row>
    <row r="51" spans="4:19"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</row>
    <row r="52" spans="4:19"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</row>
    <row r="53" spans="4:19"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</row>
    <row r="54" spans="4:19"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</row>
    <row r="55" spans="4:19"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</row>
    <row r="56" spans="4:19"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</row>
    <row r="57" spans="4:19"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</row>
    <row r="58" spans="4:19"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</row>
    <row r="59" spans="4:19"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</row>
    <row r="86" spans="3:5" ht="15" thickBot="1"/>
    <row r="87" spans="3:5" ht="15" thickTop="1">
      <c r="D87" s="69" t="s">
        <v>5</v>
      </c>
      <c r="E87" s="70">
        <f>1000000000000*D100*D99</f>
        <v>454.72840935358965</v>
      </c>
    </row>
    <row r="88" spans="3:5" ht="15" thickBot="1">
      <c r="D88" s="72" t="s">
        <v>6</v>
      </c>
      <c r="E88" s="73">
        <f>1000000*D101*D99</f>
        <v>1.1368210233839742</v>
      </c>
    </row>
    <row r="89" spans="3:5" ht="15" thickTop="1"/>
    <row r="93" spans="3:5">
      <c r="C93" t="s">
        <v>47</v>
      </c>
      <c r="D93">
        <f>1000000*E5</f>
        <v>15000000</v>
      </c>
    </row>
    <row r="94" spans="3:5">
      <c r="C94" t="s">
        <v>48</v>
      </c>
      <c r="D94">
        <f>1000000*E6</f>
        <v>7000000</v>
      </c>
    </row>
    <row r="95" spans="3:5">
      <c r="C95" t="s">
        <v>49</v>
      </c>
      <c r="D95">
        <v>3.1415926500000002</v>
      </c>
    </row>
    <row r="96" spans="3:5">
      <c r="C96" t="s">
        <v>50</v>
      </c>
      <c r="D96">
        <f>D93+D94/2</f>
        <v>18500000</v>
      </c>
    </row>
    <row r="97" spans="3:4">
      <c r="C97" t="s">
        <v>51</v>
      </c>
      <c r="D97">
        <f>D93-D94/2</f>
        <v>11500000</v>
      </c>
    </row>
    <row r="98" spans="3:4">
      <c r="C98" t="s">
        <v>52</v>
      </c>
      <c r="D98">
        <f>(D96*D97)^0.5</f>
        <v>14585952.145814821</v>
      </c>
    </row>
    <row r="99" spans="3:4">
      <c r="C99" t="s">
        <v>53</v>
      </c>
      <c r="D99">
        <f>D98/(D96-D97)</f>
        <v>2.0837074494021173</v>
      </c>
    </row>
    <row r="100" spans="3:4">
      <c r="C100" t="s">
        <v>54</v>
      </c>
      <c r="D100">
        <f>1/(2*D95*D98*E4)</f>
        <v>2.1823044760149313E-10</v>
      </c>
    </row>
    <row r="101" spans="3:4">
      <c r="C101" t="s">
        <v>55</v>
      </c>
      <c r="D101">
        <f>E4/(2*D95*D98)</f>
        <v>5.4557611900373287E-7</v>
      </c>
    </row>
    <row r="103" spans="3:4">
      <c r="C103" t="s">
        <v>61</v>
      </c>
      <c r="D103">
        <f>(4*D95^2*D98^2)</f>
        <v>8399033326132455</v>
      </c>
    </row>
  </sheetData>
  <sheetProtection sheet="1" objects="1" scenarios="1"/>
  <pageMargins left="0.7" right="0.7" top="0.75" bottom="0.75" header="0.3" footer="0.3"/>
  <pageSetup orientation="portrait" horizontalDpi="4294967293" verticalDpi="0" r:id="rId1"/>
  <drawing r:id="rId2"/>
  <picture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B1:S105"/>
  <sheetViews>
    <sheetView showGridLines="0" topLeftCell="A16" workbookViewId="0">
      <selection activeCell="J4" sqref="J4"/>
    </sheetView>
  </sheetViews>
  <sheetFormatPr defaultRowHeight="14.4"/>
  <cols>
    <col min="1" max="1" width="1.109375" customWidth="1"/>
    <col min="2" max="2" width="6.109375" customWidth="1"/>
    <col min="4" max="4" width="15.5546875" customWidth="1"/>
    <col min="6" max="6" width="14.88671875" customWidth="1"/>
    <col min="7" max="7" width="10.109375" customWidth="1"/>
    <col min="8" max="8" width="13.5546875" customWidth="1"/>
    <col min="10" max="10" width="13.6640625" customWidth="1"/>
    <col min="12" max="12" width="13.88671875" customWidth="1"/>
    <col min="13" max="13" width="9.6640625" customWidth="1"/>
    <col min="14" max="14" width="12.88671875" customWidth="1"/>
    <col min="15" max="15" width="9.5546875" customWidth="1"/>
    <col min="16" max="16" width="13.44140625" customWidth="1"/>
    <col min="17" max="17" width="1.33203125" customWidth="1"/>
    <col min="19" max="19" width="26.109375" customWidth="1"/>
  </cols>
  <sheetData>
    <row r="1" spans="2:19" ht="15" thickBot="1"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</row>
    <row r="2" spans="2:19" ht="18.600000000000001" thickTop="1">
      <c r="B2" s="58"/>
      <c r="C2" s="1" t="s">
        <v>85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16" t="s">
        <v>219</v>
      </c>
      <c r="S2" s="9"/>
    </row>
    <row r="3" spans="2:19" ht="15" thickBot="1">
      <c r="B3" s="58"/>
      <c r="C3" s="58"/>
      <c r="D3" s="58"/>
      <c r="E3" s="58"/>
      <c r="F3" s="58"/>
      <c r="G3" s="58"/>
      <c r="H3" s="58"/>
      <c r="K3" s="58"/>
      <c r="L3" s="58"/>
      <c r="M3" s="58"/>
      <c r="N3" s="58"/>
      <c r="O3" s="58"/>
      <c r="P3" s="58"/>
      <c r="Q3" s="58"/>
      <c r="R3" s="27" t="s">
        <v>228</v>
      </c>
      <c r="S3" s="28"/>
    </row>
    <row r="4" spans="2:19" ht="15" thickTop="1">
      <c r="B4" s="16" t="s">
        <v>100</v>
      </c>
      <c r="C4" s="14"/>
      <c r="D4" s="14"/>
      <c r="E4" s="71">
        <v>200</v>
      </c>
      <c r="F4" s="58"/>
      <c r="G4" s="58"/>
      <c r="H4" s="58"/>
      <c r="K4" s="58"/>
      <c r="L4" s="58"/>
      <c r="M4" s="58"/>
      <c r="N4" s="58"/>
      <c r="O4" s="58"/>
      <c r="P4" s="58"/>
      <c r="Q4" s="58"/>
      <c r="R4" s="27" t="s">
        <v>74</v>
      </c>
      <c r="S4" s="28"/>
    </row>
    <row r="5" spans="2:19">
      <c r="B5" s="31" t="s">
        <v>75</v>
      </c>
      <c r="C5" s="32"/>
      <c r="D5" s="32"/>
      <c r="E5" s="74">
        <v>21</v>
      </c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4" t="s">
        <v>206</v>
      </c>
      <c r="S5" s="28"/>
    </row>
    <row r="6" spans="2:19" ht="15" thickBot="1">
      <c r="B6" s="17" t="s">
        <v>73</v>
      </c>
      <c r="C6" s="33"/>
      <c r="D6" s="33"/>
      <c r="E6" s="75">
        <v>4</v>
      </c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29" t="s">
        <v>96</v>
      </c>
      <c r="S6" s="28"/>
    </row>
    <row r="7" spans="2:19" ht="15.6" thickTop="1" thickBot="1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29" t="s">
        <v>97</v>
      </c>
      <c r="S7" s="28"/>
    </row>
    <row r="8" spans="2:19" ht="15" thickTop="1">
      <c r="B8" s="58"/>
      <c r="C8" s="16"/>
      <c r="D8" s="13" t="s">
        <v>46</v>
      </c>
      <c r="E8" s="14"/>
      <c r="F8" s="14" t="s">
        <v>58</v>
      </c>
      <c r="G8" s="12" t="s">
        <v>60</v>
      </c>
      <c r="H8" s="13"/>
      <c r="I8" s="12" t="s">
        <v>34</v>
      </c>
      <c r="J8" s="13"/>
      <c r="K8" s="12" t="s">
        <v>63</v>
      </c>
      <c r="L8" s="14"/>
      <c r="M8" s="12" t="s">
        <v>62</v>
      </c>
      <c r="N8" s="13"/>
      <c r="O8" s="12" t="s">
        <v>64</v>
      </c>
      <c r="P8" s="14"/>
      <c r="Q8" s="27"/>
      <c r="R8" s="29" t="s">
        <v>102</v>
      </c>
      <c r="S8" s="28"/>
    </row>
    <row r="9" spans="2:19">
      <c r="B9" s="58"/>
      <c r="C9" s="76" t="s">
        <v>2</v>
      </c>
      <c r="D9" s="77">
        <f>(D100*D99)*1000000000000*1.0285</f>
        <v>204.61357394632304</v>
      </c>
      <c r="E9" s="49" t="s">
        <v>2</v>
      </c>
      <c r="F9" s="78">
        <f>0.9277*D90</f>
        <v>184.56005109382974</v>
      </c>
      <c r="G9" s="79" t="s">
        <v>2</v>
      </c>
      <c r="H9" s="77">
        <f>1.144*D90</f>
        <v>227.5915688814716</v>
      </c>
      <c r="I9" s="79" t="s">
        <v>2</v>
      </c>
      <c r="J9" s="77">
        <f>1.0366*D90</f>
        <v>206.22501774696983</v>
      </c>
      <c r="K9" s="80" t="s">
        <v>2</v>
      </c>
      <c r="L9" s="81">
        <f>1.178*D90</f>
        <v>234.35565397060626</v>
      </c>
      <c r="M9" s="79" t="s">
        <v>2</v>
      </c>
      <c r="N9" s="77">
        <f>1.0862*D90</f>
        <v>216.09262422994274</v>
      </c>
      <c r="O9" s="80" t="s">
        <v>2</v>
      </c>
      <c r="P9" s="81">
        <f>1.193*D90</f>
        <v>237.33980915698922</v>
      </c>
      <c r="Q9" s="27"/>
      <c r="R9" s="29" t="s">
        <v>163</v>
      </c>
      <c r="S9" s="28"/>
    </row>
    <row r="10" spans="2:19">
      <c r="B10" s="58"/>
      <c r="C10" s="82" t="s">
        <v>22</v>
      </c>
      <c r="D10" s="83">
        <f>1000000/(4*D95^2*D98^2*D9*0.000000000001)</f>
        <v>0.28328552638588578</v>
      </c>
      <c r="E10" s="84" t="s">
        <v>22</v>
      </c>
      <c r="F10" s="85">
        <f>1000000/(4*D95^2*D98^2*F9*0.000000000001)</f>
        <v>0.31406614626267498</v>
      </c>
      <c r="G10" s="86" t="s">
        <v>22</v>
      </c>
      <c r="H10" s="83">
        <f>1000000/(4*D95^2*D98^2*H9*0.000000000001)</f>
        <v>0.25468458381808007</v>
      </c>
      <c r="I10" s="86" t="s">
        <v>22</v>
      </c>
      <c r="J10" s="83">
        <f>1000000/(4*D95^2*D98^2*J9*0.000000000001)</f>
        <v>0.28107193120575302</v>
      </c>
      <c r="K10" s="86" t="s">
        <v>22</v>
      </c>
      <c r="L10" s="83">
        <f>1000000/(4*D95^2*D98^2*L9*0.000000000001)</f>
        <v>0.24733375542265157</v>
      </c>
      <c r="M10" s="86" t="s">
        <v>22</v>
      </c>
      <c r="N10" s="83">
        <f>1000000/(4*D95^2*D98^2*N9*0.000000000001)</f>
        <v>0.26823712381502812</v>
      </c>
      <c r="O10" s="86" t="s">
        <v>22</v>
      </c>
      <c r="P10" s="87">
        <f>1000000/(4*D95^2*D98^2*P9*0.000000000001)</f>
        <v>0.24422394290685961</v>
      </c>
      <c r="Q10" s="27"/>
      <c r="R10" s="29" t="s">
        <v>139</v>
      </c>
      <c r="S10" s="28"/>
    </row>
    <row r="11" spans="2:19">
      <c r="B11" s="58"/>
      <c r="C11" s="82" t="s">
        <v>59</v>
      </c>
      <c r="D11" s="88">
        <f>1000000000000/(4*D95^2*D98^2*D12*0.000001)</f>
        <v>6.3515687976954043</v>
      </c>
      <c r="E11" s="89" t="s">
        <v>23</v>
      </c>
      <c r="F11" s="90">
        <f>1000000000000/(4*D95^2*D98^2*F12*0.000001)</f>
        <v>5.0794833313787242</v>
      </c>
      <c r="G11" s="91" t="s">
        <v>23</v>
      </c>
      <c r="H11" s="88">
        <f>1000000000000/(4*D95^2*D98^2*H12*0.000001)</f>
        <v>5.3090226655955455</v>
      </c>
      <c r="I11" s="91" t="s">
        <v>23</v>
      </c>
      <c r="J11" s="88">
        <f>1000000000000/(4*D95^2*D98^2*J12*0.000001)</f>
        <v>4.8047355522408237</v>
      </c>
      <c r="K11" s="91" t="s">
        <v>23</v>
      </c>
      <c r="L11" s="88">
        <f>L19</f>
        <v>5.1187484871377986</v>
      </c>
      <c r="M11" s="91" t="s">
        <v>23</v>
      </c>
      <c r="N11" s="88">
        <f>1000000000000/(4*D95^2*D98^2*N12*0.000001)</f>
        <v>4.7732497360400323</v>
      </c>
      <c r="O11" s="91" t="s">
        <v>23</v>
      </c>
      <c r="P11" s="92">
        <f>1000000000000/(4*D95^2*D98^2*P12*0.000001)</f>
        <v>5.047802562160145</v>
      </c>
      <c r="Q11" s="27"/>
      <c r="R11" s="27" t="s">
        <v>176</v>
      </c>
      <c r="S11" s="6"/>
    </row>
    <row r="12" spans="2:19">
      <c r="B12" s="58"/>
      <c r="C12" s="82" t="s">
        <v>3</v>
      </c>
      <c r="D12" s="83">
        <f>1.1468*1000000*(D101*D99)</f>
        <v>9.12594444731719</v>
      </c>
      <c r="E12" s="89" t="s">
        <v>3</v>
      </c>
      <c r="F12" s="85">
        <f>(1.434/1)*D91</f>
        <v>11.411409432728332</v>
      </c>
      <c r="G12" s="91" t="s">
        <v>3</v>
      </c>
      <c r="H12" s="83">
        <f>(1.372)*D91</f>
        <v>10.918029108579688</v>
      </c>
      <c r="I12" s="91" t="s">
        <v>3</v>
      </c>
      <c r="J12" s="83">
        <f>(1.516)*D91</f>
        <v>12.063944700150733</v>
      </c>
      <c r="K12" s="91" t="s">
        <v>3</v>
      </c>
      <c r="L12" s="83">
        <f>(1.423*D91)</f>
        <v>11.323874213927768</v>
      </c>
      <c r="M12" s="91" t="s">
        <v>3</v>
      </c>
      <c r="N12" s="83">
        <f>(1.526*D91)</f>
        <v>12.143522171787613</v>
      </c>
      <c r="O12" s="91" t="s">
        <v>3</v>
      </c>
      <c r="P12" s="87">
        <f>1.443*D91</f>
        <v>11.483029157201523</v>
      </c>
      <c r="Q12" s="27"/>
      <c r="R12" s="27" t="s">
        <v>192</v>
      </c>
      <c r="S12" s="6"/>
    </row>
    <row r="13" spans="2:19">
      <c r="B13" s="58"/>
      <c r="C13" s="82" t="s">
        <v>4</v>
      </c>
      <c r="D13" s="88">
        <f>D9</f>
        <v>204.61357394632304</v>
      </c>
      <c r="E13" s="89" t="s">
        <v>4</v>
      </c>
      <c r="F13" s="90">
        <f>1.434*D90</f>
        <v>285.28523581820832</v>
      </c>
      <c r="G13" s="91" t="s">
        <v>4</v>
      </c>
      <c r="H13" s="88">
        <f>1.972*D90</f>
        <v>392.31693516980948</v>
      </c>
      <c r="I13" s="91" t="s">
        <v>4</v>
      </c>
      <c r="J13" s="88">
        <f>1.788*D90</f>
        <v>355.71129821684553</v>
      </c>
      <c r="K13" s="91" t="s">
        <v>4</v>
      </c>
      <c r="L13" s="88">
        <f>2.094*D90</f>
        <v>416.5880640190573</v>
      </c>
      <c r="M13" s="91" t="s">
        <v>4</v>
      </c>
      <c r="N13" s="88">
        <f>1.904*D90</f>
        <v>378.78876499154018</v>
      </c>
      <c r="O13" s="91" t="s">
        <v>4</v>
      </c>
      <c r="P13" s="92">
        <f>2.132*D90</f>
        <v>424.14792382456079</v>
      </c>
      <c r="Q13" s="27"/>
      <c r="R13" s="27" t="s">
        <v>207</v>
      </c>
      <c r="S13" s="28"/>
    </row>
    <row r="14" spans="2:19">
      <c r="B14" s="58"/>
      <c r="C14" s="93" t="s">
        <v>56</v>
      </c>
      <c r="D14" s="94">
        <f>D10</f>
        <v>0.28328552638588578</v>
      </c>
      <c r="E14" s="89" t="s">
        <v>24</v>
      </c>
      <c r="F14" s="85">
        <f>1000000/(4*D95^2*D98^2*F13*0.000000000001)</f>
        <v>0.20317933325514892</v>
      </c>
      <c r="G14" s="91" t="s">
        <v>24</v>
      </c>
      <c r="H14" s="83">
        <f>1000000/(4*D95^2*D98^2*H13*0.000000000001)</f>
        <v>0.14774805470988009</v>
      </c>
      <c r="I14" s="91" t="s">
        <v>24</v>
      </c>
      <c r="J14" s="83">
        <f>1000000/(4*D95^2*D98^2*J13*0.000000000001)</f>
        <v>0.16295255251000196</v>
      </c>
      <c r="K14" s="91" t="s">
        <v>24</v>
      </c>
      <c r="L14" s="83">
        <f>1000000/(4*D95^2*D98^2*L13*0.000000000001)</f>
        <v>0.13914000185667791</v>
      </c>
      <c r="M14" s="91" t="s">
        <v>24</v>
      </c>
      <c r="N14" s="83">
        <f>1000000/(4*D95^2*D98^2*N13*0.000000000001)</f>
        <v>0.15302477094951866</v>
      </c>
      <c r="O14" s="91" t="s">
        <v>24</v>
      </c>
      <c r="P14" s="87">
        <f>1000000/(4*D95^2*D98^2*P13*0.000000000001)</f>
        <v>0.13666002058531121</v>
      </c>
      <c r="Q14" s="27"/>
      <c r="R14" s="27" t="s">
        <v>205</v>
      </c>
      <c r="S14" s="28"/>
    </row>
    <row r="15" spans="2:19" ht="15" thickBot="1">
      <c r="B15" s="58"/>
      <c r="C15" s="27"/>
      <c r="D15" s="46"/>
      <c r="E15" s="91" t="s">
        <v>25</v>
      </c>
      <c r="F15" s="90">
        <f>1000000000000/(4*D95^2*D98^2*F16*0.000001)</f>
        <v>7.8516536565668744</v>
      </c>
      <c r="G15" s="91" t="s">
        <v>25</v>
      </c>
      <c r="H15" s="88">
        <f>H11</f>
        <v>5.3090226655955455</v>
      </c>
      <c r="I15" s="91" t="s">
        <v>25</v>
      </c>
      <c r="J15" s="88">
        <f>1000000000000/(4*D95^2*D98^2*J16*0.000001)</f>
        <v>4.0738138127500498</v>
      </c>
      <c r="K15" s="91" t="s">
        <v>25</v>
      </c>
      <c r="L15" s="88">
        <f>1000000000000/(4*D95^2*D98^2*L16*0.000001)</f>
        <v>4.6276868470121268</v>
      </c>
      <c r="M15" s="91" t="s">
        <v>25</v>
      </c>
      <c r="N15" s="88">
        <f>1000000000000/(4*D95^2*D98^2*N16*0.000001)</f>
        <v>3.9803164465557868</v>
      </c>
      <c r="O15" s="91" t="s">
        <v>25</v>
      </c>
      <c r="P15" s="92">
        <f>1000000000000/(4*D95^2*D98^2*P16*0.000001)</f>
        <v>4.5018412220006736</v>
      </c>
      <c r="Q15" s="27"/>
      <c r="R15" s="17" t="s">
        <v>225</v>
      </c>
      <c r="S15" s="25"/>
    </row>
    <row r="16" spans="2:19" ht="15" thickTop="1">
      <c r="B16" s="58"/>
      <c r="C16" s="27"/>
      <c r="D16" s="46"/>
      <c r="E16" s="95" t="s">
        <v>7</v>
      </c>
      <c r="F16" s="96">
        <f>0.9277*D101*D99*1000000</f>
        <v>7.3824020437531894</v>
      </c>
      <c r="G16" s="86" t="s">
        <v>7</v>
      </c>
      <c r="H16" s="83">
        <f>H12</f>
        <v>10.918029108579688</v>
      </c>
      <c r="I16" s="86" t="s">
        <v>7</v>
      </c>
      <c r="J16" s="83">
        <f>D101*D99*1000000*1.788</f>
        <v>14.22845192867382</v>
      </c>
      <c r="K16" s="86" t="s">
        <v>7</v>
      </c>
      <c r="L16" s="83">
        <f>1.574*D91</f>
        <v>12.525494035644629</v>
      </c>
      <c r="M16" s="86" t="s">
        <v>7</v>
      </c>
      <c r="N16" s="83">
        <f>D101*D99*1000000*1.83</f>
        <v>14.562677309548707</v>
      </c>
      <c r="O16" s="86" t="s">
        <v>7</v>
      </c>
      <c r="P16" s="87">
        <f>D101*D99*1000000*1.618</f>
        <v>12.875634910846891</v>
      </c>
      <c r="Q16" s="27"/>
      <c r="R16" s="58"/>
    </row>
    <row r="17" spans="2:18">
      <c r="B17" s="58"/>
      <c r="C17" s="27"/>
      <c r="D17" s="46"/>
      <c r="E17" s="46"/>
      <c r="F17" s="46"/>
      <c r="G17" s="86" t="s">
        <v>8</v>
      </c>
      <c r="H17" s="88">
        <f>H9</f>
        <v>227.5915688814716</v>
      </c>
      <c r="I17" s="86" t="s">
        <v>8</v>
      </c>
      <c r="J17" s="88">
        <f>1.516*D90</f>
        <v>301.59861750376837</v>
      </c>
      <c r="K17" s="86" t="s">
        <v>8</v>
      </c>
      <c r="L17" s="88">
        <f>L13</f>
        <v>416.5880640190573</v>
      </c>
      <c r="M17" s="86" t="s">
        <v>8</v>
      </c>
      <c r="N17" s="88">
        <f>1.83*D90</f>
        <v>364.06693273871775</v>
      </c>
      <c r="O17" s="86" t="s">
        <v>8</v>
      </c>
      <c r="P17" s="92">
        <f>2.205*D90</f>
        <v>438.67081239829105</v>
      </c>
      <c r="Q17" s="27"/>
      <c r="R17" s="58"/>
    </row>
    <row r="18" spans="2:18">
      <c r="B18" s="58"/>
      <c r="C18" s="27"/>
      <c r="D18" s="46"/>
      <c r="E18" s="46"/>
      <c r="F18" s="46"/>
      <c r="G18" s="97" t="s">
        <v>26</v>
      </c>
      <c r="H18" s="98">
        <f>H10</f>
        <v>0.25468458381808007</v>
      </c>
      <c r="I18" s="80" t="s">
        <v>26</v>
      </c>
      <c r="J18" s="83">
        <f>1000000/(4*D95^2*D98^2*J17*0.000000000001)</f>
        <v>0.19218942208963291</v>
      </c>
      <c r="K18" s="86" t="s">
        <v>26</v>
      </c>
      <c r="L18" s="83">
        <f>L14</f>
        <v>0.13914000185667791</v>
      </c>
      <c r="M18" s="86" t="s">
        <v>26</v>
      </c>
      <c r="N18" s="83">
        <f>1000000/(4*D95^2*D98^2*N17*0.000000000001)</f>
        <v>0.15921265786223143</v>
      </c>
      <c r="O18" s="86" t="s">
        <v>26</v>
      </c>
      <c r="P18" s="87">
        <f>1000000/(4*D95^2*D98^2*P17*0.000000000001)</f>
        <v>0.13213567523260025</v>
      </c>
      <c r="Q18" s="27"/>
      <c r="R18" s="58"/>
    </row>
    <row r="19" spans="2:18">
      <c r="B19" s="58"/>
      <c r="C19" s="27"/>
      <c r="D19" s="46"/>
      <c r="E19" s="46"/>
      <c r="F19" s="46"/>
      <c r="G19" s="46"/>
      <c r="H19" s="46"/>
      <c r="I19" s="86" t="s">
        <v>27</v>
      </c>
      <c r="J19" s="88">
        <f>1000000000000/(4*D95^2*D98^2*J20*0.000001)</f>
        <v>7.0267982801438249</v>
      </c>
      <c r="K19" s="86" t="s">
        <v>27</v>
      </c>
      <c r="L19" s="88">
        <f>1000000000000/(4*D95^2*D98^2*L20*0.000001)</f>
        <v>5.1187484871377986</v>
      </c>
      <c r="M19" s="86" t="s">
        <v>27</v>
      </c>
      <c r="N19" s="88">
        <f>1000000000000/(4*D95^2*D98^2*N20*0.000001)</f>
        <v>3.8256192737379671</v>
      </c>
      <c r="O19" s="86" t="s">
        <v>27</v>
      </c>
      <c r="P19" s="92">
        <f>P15</f>
        <v>4.5018412220006736</v>
      </c>
      <c r="Q19" s="27"/>
      <c r="R19" s="58"/>
    </row>
    <row r="20" spans="2:18">
      <c r="B20" s="58"/>
      <c r="C20" s="27"/>
      <c r="D20" s="46"/>
      <c r="E20" s="46"/>
      <c r="F20" s="46"/>
      <c r="G20" s="46"/>
      <c r="H20" s="46"/>
      <c r="I20" s="97" t="s">
        <v>10</v>
      </c>
      <c r="J20" s="98">
        <f>D101*D99*1000000*1.0366</f>
        <v>8.2490007098787927</v>
      </c>
      <c r="K20" s="86" t="s">
        <v>10</v>
      </c>
      <c r="L20" s="83">
        <f>L12</f>
        <v>11.323874213927768</v>
      </c>
      <c r="M20" s="86" t="s">
        <v>10</v>
      </c>
      <c r="N20" s="83">
        <f>D101*D99*1000000*1.904</f>
        <v>15.151550599661606</v>
      </c>
      <c r="O20" s="86" t="s">
        <v>10</v>
      </c>
      <c r="P20" s="87">
        <f>P16</f>
        <v>12.875634910846891</v>
      </c>
      <c r="Q20" s="27"/>
      <c r="R20" s="58"/>
    </row>
    <row r="21" spans="2:18">
      <c r="B21" s="58"/>
      <c r="C21" s="27"/>
      <c r="D21" s="46"/>
      <c r="E21" s="46"/>
      <c r="F21" s="46"/>
      <c r="G21" s="46"/>
      <c r="H21" s="46"/>
      <c r="I21" s="46"/>
      <c r="J21" s="46"/>
      <c r="K21" s="91" t="s">
        <v>11</v>
      </c>
      <c r="L21" s="88">
        <f>L9</f>
        <v>234.35565397060626</v>
      </c>
      <c r="M21" s="91" t="s">
        <v>11</v>
      </c>
      <c r="N21" s="88">
        <f>1.526*D90</f>
        <v>303.58805429469032</v>
      </c>
      <c r="O21" s="91" t="s">
        <v>11</v>
      </c>
      <c r="P21" s="92">
        <f>P13</f>
        <v>424.14792382456079</v>
      </c>
      <c r="Q21" s="27"/>
      <c r="R21" s="58"/>
    </row>
    <row r="22" spans="2:18">
      <c r="B22" s="58"/>
      <c r="C22" s="27"/>
      <c r="D22" s="46"/>
      <c r="E22" s="46"/>
      <c r="F22" s="46"/>
      <c r="G22" s="46"/>
      <c r="H22" s="46"/>
      <c r="I22" s="46"/>
      <c r="J22" s="46"/>
      <c r="K22" s="99" t="s">
        <v>28</v>
      </c>
      <c r="L22" s="98">
        <f>L10</f>
        <v>0.24733375542265157</v>
      </c>
      <c r="M22" s="91" t="s">
        <v>28</v>
      </c>
      <c r="N22" s="83">
        <f>1000000/(4*D95^2*D98^2*N21*0.000000000001)</f>
        <v>0.19092998944160125</v>
      </c>
      <c r="O22" s="91" t="s">
        <v>28</v>
      </c>
      <c r="P22" s="87">
        <f>P14</f>
        <v>0.13666002058531121</v>
      </c>
      <c r="Q22" s="27"/>
      <c r="R22" s="58"/>
    </row>
    <row r="23" spans="2:18">
      <c r="B23" s="58"/>
      <c r="C23" s="27"/>
      <c r="D23" s="46"/>
      <c r="E23" s="46"/>
      <c r="F23" s="46"/>
      <c r="G23" s="46"/>
      <c r="H23" s="46"/>
      <c r="I23" s="46"/>
      <c r="J23" s="46"/>
      <c r="K23" s="46"/>
      <c r="L23" s="46"/>
      <c r="M23" s="91" t="s">
        <v>29</v>
      </c>
      <c r="N23" s="88">
        <f>1000000000000/(4*D95^2*D98^2*N24*0.000001)</f>
        <v>6.7059280953757048</v>
      </c>
      <c r="O23" s="91" t="s">
        <v>29</v>
      </c>
      <c r="P23" s="92">
        <f>P11</f>
        <v>5.047802562160145</v>
      </c>
      <c r="Q23" s="27"/>
      <c r="R23" s="58"/>
    </row>
    <row r="24" spans="2:18">
      <c r="B24" s="58"/>
      <c r="C24" s="27"/>
      <c r="D24" s="46"/>
      <c r="E24" s="46"/>
      <c r="F24" s="46"/>
      <c r="G24" s="46"/>
      <c r="H24" s="46"/>
      <c r="I24" s="46"/>
      <c r="J24" s="46"/>
      <c r="K24" s="46"/>
      <c r="L24" s="46"/>
      <c r="M24" s="99" t="s">
        <v>12</v>
      </c>
      <c r="N24" s="98">
        <f>D99*D101*1000000*1.0862</f>
        <v>8.6437049691977084</v>
      </c>
      <c r="O24" s="91" t="s">
        <v>12</v>
      </c>
      <c r="P24" s="87">
        <f>P12</f>
        <v>11.483029157201523</v>
      </c>
      <c r="Q24" s="27"/>
      <c r="R24" s="58"/>
    </row>
    <row r="25" spans="2:18">
      <c r="B25" s="58"/>
      <c r="C25" s="27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86" t="s">
        <v>38</v>
      </c>
      <c r="P25" s="92">
        <f>P9</f>
        <v>237.33980915698922</v>
      </c>
      <c r="Q25" s="27"/>
      <c r="R25" s="58"/>
    </row>
    <row r="26" spans="2:18" ht="15" thickBot="1">
      <c r="B26" s="58"/>
      <c r="C26" s="17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100" t="s">
        <v>30</v>
      </c>
      <c r="P26" s="101">
        <f>P10</f>
        <v>0.24422394290685961</v>
      </c>
      <c r="Q26" s="27"/>
      <c r="R26" s="58"/>
    </row>
    <row r="27" spans="2:18" ht="15.6" thickTop="1" thickBot="1">
      <c r="B27" s="58"/>
      <c r="C27" s="14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58"/>
    </row>
    <row r="28" spans="2:18" ht="15" thickTop="1">
      <c r="B28" s="58"/>
      <c r="C28" s="16"/>
      <c r="D28" s="14" t="s">
        <v>46</v>
      </c>
      <c r="E28" s="12" t="s">
        <v>67</v>
      </c>
      <c r="F28" s="14"/>
      <c r="G28" s="12" t="s">
        <v>65</v>
      </c>
      <c r="H28" s="14"/>
      <c r="I28" s="12" t="s">
        <v>68</v>
      </c>
      <c r="J28" s="13"/>
      <c r="K28" s="14" t="s">
        <v>69</v>
      </c>
      <c r="L28" s="14"/>
      <c r="M28" s="12" t="s">
        <v>62</v>
      </c>
      <c r="N28" s="13"/>
      <c r="O28" s="14" t="s">
        <v>70</v>
      </c>
      <c r="P28" s="14"/>
      <c r="Q28" s="27"/>
      <c r="R28" s="58"/>
    </row>
    <row r="29" spans="2:18">
      <c r="B29" s="58"/>
      <c r="C29" s="76" t="s">
        <v>2</v>
      </c>
      <c r="D29" s="78">
        <f>1000000000000/(4*D95^2*D98^2*D30*0.000001)</f>
        <v>7.0821381596471467</v>
      </c>
      <c r="E29" s="80" t="s">
        <v>2</v>
      </c>
      <c r="F29" s="81">
        <f>F15</f>
        <v>7.8516536565668744</v>
      </c>
      <c r="G29" s="80" t="s">
        <v>2</v>
      </c>
      <c r="H29" s="81">
        <f>1000000000000/(4*D95^2*D98^2*H30*0.000001)</f>
        <v>6.3671145954520014</v>
      </c>
      <c r="I29" s="79" t="s">
        <v>2</v>
      </c>
      <c r="J29" s="77">
        <f>J19</f>
        <v>7.0267982801438249</v>
      </c>
      <c r="K29" s="80" t="s">
        <v>2</v>
      </c>
      <c r="L29" s="81">
        <f>1000000000000/(4*D95^2*D98^2*L30*0.000001)</f>
        <v>6.1833438855662903</v>
      </c>
      <c r="M29" s="80" t="s">
        <v>2</v>
      </c>
      <c r="N29" s="102">
        <f>N23</f>
        <v>6.7059280953757048</v>
      </c>
      <c r="O29" s="80" t="s">
        <v>2</v>
      </c>
      <c r="P29" s="81">
        <f>1000000000000/(4*D95^2*D98^2*P30*0.000001)</f>
        <v>6.1055985726714912</v>
      </c>
      <c r="Q29" s="27"/>
      <c r="R29" s="58"/>
    </row>
    <row r="30" spans="2:18">
      <c r="B30" s="58"/>
      <c r="C30" s="82" t="s">
        <v>22</v>
      </c>
      <c r="D30" s="85">
        <f>1.0285*D91</f>
        <v>8.184542957852921</v>
      </c>
      <c r="E30" s="86" t="s">
        <v>22</v>
      </c>
      <c r="F30" s="85">
        <f>F16</f>
        <v>7.3824020437531894</v>
      </c>
      <c r="G30" s="86" t="s">
        <v>22</v>
      </c>
      <c r="H30" s="83">
        <f>1.144*D91</f>
        <v>9.1036627552588651</v>
      </c>
      <c r="I30" s="86" t="s">
        <v>22</v>
      </c>
      <c r="J30" s="83">
        <f>J20</f>
        <v>8.2490007098787927</v>
      </c>
      <c r="K30" s="86" t="s">
        <v>22</v>
      </c>
      <c r="L30" s="85">
        <f>1.178*D91</f>
        <v>9.3742261588242499</v>
      </c>
      <c r="M30" s="86" t="s">
        <v>22</v>
      </c>
      <c r="N30" s="83">
        <f>N24</f>
        <v>8.6437049691977084</v>
      </c>
      <c r="O30" s="86" t="s">
        <v>22</v>
      </c>
      <c r="P30" s="87">
        <f>1.193*D91</f>
        <v>9.493592366279568</v>
      </c>
      <c r="Q30" s="27"/>
      <c r="R30" s="58"/>
    </row>
    <row r="31" spans="2:18">
      <c r="B31" s="58"/>
      <c r="C31" s="82" t="s">
        <v>23</v>
      </c>
      <c r="D31" s="90">
        <f>1.1468*D90</f>
        <v>228.14861118292978</v>
      </c>
      <c r="E31" s="86" t="s">
        <v>23</v>
      </c>
      <c r="F31" s="90">
        <f>F13</f>
        <v>285.28523581820832</v>
      </c>
      <c r="G31" s="86" t="s">
        <v>23</v>
      </c>
      <c r="H31" s="88">
        <f>1.372*D90</f>
        <v>272.95072771449225</v>
      </c>
      <c r="I31" s="86" t="s">
        <v>23</v>
      </c>
      <c r="J31" s="88">
        <f>J17</f>
        <v>301.59861750376837</v>
      </c>
      <c r="K31" s="86" t="s">
        <v>23</v>
      </c>
      <c r="L31" s="90">
        <f>1.423*D90</f>
        <v>283.0968553481942</v>
      </c>
      <c r="M31" s="86" t="s">
        <v>23</v>
      </c>
      <c r="N31" s="88">
        <f>N21</f>
        <v>303.58805429469032</v>
      </c>
      <c r="O31" s="86" t="s">
        <v>23</v>
      </c>
      <c r="P31" s="92">
        <f>1.443*D90</f>
        <v>287.07572893003811</v>
      </c>
      <c r="Q31" s="27"/>
      <c r="R31" s="58"/>
    </row>
    <row r="32" spans="2:18">
      <c r="B32" s="58"/>
      <c r="C32" s="103" t="s">
        <v>3</v>
      </c>
      <c r="D32" s="85">
        <f>1000000/(4*D95^2*D98^2*D31*0.000000000001)</f>
        <v>0.25406275190781613</v>
      </c>
      <c r="E32" s="91" t="s">
        <v>3</v>
      </c>
      <c r="F32" s="85">
        <f>F14</f>
        <v>0.20317933325514892</v>
      </c>
      <c r="G32" s="91" t="s">
        <v>3</v>
      </c>
      <c r="H32" s="83">
        <f>1000000/(4*D95^2*D98^2*H31*0.000000000001)</f>
        <v>0.21236090662382176</v>
      </c>
      <c r="I32" s="91" t="s">
        <v>3</v>
      </c>
      <c r="J32" s="83">
        <f>J18</f>
        <v>0.19218942208963291</v>
      </c>
      <c r="K32" s="91" t="s">
        <v>3</v>
      </c>
      <c r="L32" s="85">
        <f>1000000/(4*D95^2*D98^2*L31*0.000000000001)</f>
        <v>0.20474993948551196</v>
      </c>
      <c r="M32" s="91" t="s">
        <v>3</v>
      </c>
      <c r="N32" s="83">
        <f>N22</f>
        <v>0.19092998944160125</v>
      </c>
      <c r="O32" s="91" t="s">
        <v>3</v>
      </c>
      <c r="P32" s="87">
        <f>1000000/(4*D95^2*D98^2*P31*0.000000000001)</f>
        <v>0.20191210248640573</v>
      </c>
      <c r="Q32" s="27"/>
      <c r="R32" s="58"/>
    </row>
    <row r="33" spans="2:18">
      <c r="B33" s="58"/>
      <c r="C33" s="103" t="s">
        <v>4</v>
      </c>
      <c r="D33" s="90">
        <f>D29</f>
        <v>7.0821381596471467</v>
      </c>
      <c r="E33" s="91" t="s">
        <v>4</v>
      </c>
      <c r="F33" s="90">
        <f>F11</f>
        <v>5.0794833313787242</v>
      </c>
      <c r="G33" s="91" t="s">
        <v>4</v>
      </c>
      <c r="H33" s="88">
        <f>1000000000000/(4*D98^2*D95^2*H34*0.000001)</f>
        <v>3.6937013677470025</v>
      </c>
      <c r="I33" s="91" t="s">
        <v>4</v>
      </c>
      <c r="J33" s="88">
        <f>J15</f>
        <v>4.0738138127500498</v>
      </c>
      <c r="K33" s="91" t="s">
        <v>4</v>
      </c>
      <c r="L33" s="90">
        <f>1000000000000/(4*D95^2*D98^2*L34*0.000001)</f>
        <v>3.478500046416948</v>
      </c>
      <c r="M33" s="91" t="s">
        <v>4</v>
      </c>
      <c r="N33" s="88">
        <f>N19</f>
        <v>3.8256192737379671</v>
      </c>
      <c r="O33" s="91" t="s">
        <v>4</v>
      </c>
      <c r="P33" s="92">
        <f>1000000000000/(4*D95^2*D98^2*P34*0.000001)</f>
        <v>3.4165005146327805</v>
      </c>
      <c r="Q33" s="27"/>
      <c r="R33" s="58"/>
    </row>
    <row r="34" spans="2:18">
      <c r="B34" s="58"/>
      <c r="C34" s="104" t="s">
        <v>24</v>
      </c>
      <c r="D34" s="94">
        <f>D30</f>
        <v>8.184542957852921</v>
      </c>
      <c r="E34" s="91" t="s">
        <v>24</v>
      </c>
      <c r="F34" s="85">
        <f>F12</f>
        <v>11.411409432728332</v>
      </c>
      <c r="G34" s="91" t="s">
        <v>24</v>
      </c>
      <c r="H34" s="83">
        <f>1.972*D91</f>
        <v>15.692677406792379</v>
      </c>
      <c r="I34" s="91" t="s">
        <v>24</v>
      </c>
      <c r="J34" s="83">
        <f>J16</f>
        <v>14.22845192867382</v>
      </c>
      <c r="K34" s="91" t="s">
        <v>24</v>
      </c>
      <c r="L34" s="85">
        <f>2.094*D91</f>
        <v>16.663522560762292</v>
      </c>
      <c r="M34" s="91" t="s">
        <v>24</v>
      </c>
      <c r="N34" s="83">
        <f>N20</f>
        <v>15.151550599661606</v>
      </c>
      <c r="O34" s="91" t="s">
        <v>24</v>
      </c>
      <c r="P34" s="87">
        <f>2.132*D91</f>
        <v>16.965916952982433</v>
      </c>
      <c r="Q34" s="27"/>
      <c r="R34" s="58"/>
    </row>
    <row r="35" spans="2:18">
      <c r="B35" s="58"/>
      <c r="C35" s="27"/>
      <c r="D35" s="46"/>
      <c r="E35" s="86" t="s">
        <v>25</v>
      </c>
      <c r="F35" s="90">
        <f>F9</f>
        <v>184.56005109382974</v>
      </c>
      <c r="G35" s="86" t="s">
        <v>25</v>
      </c>
      <c r="H35" s="88">
        <f>H31</f>
        <v>272.95072771449225</v>
      </c>
      <c r="I35" s="86" t="s">
        <v>25</v>
      </c>
      <c r="J35" s="88">
        <f>J13</f>
        <v>355.71129821684553</v>
      </c>
      <c r="K35" s="86" t="s">
        <v>25</v>
      </c>
      <c r="L35" s="90">
        <f>1.574*D90</f>
        <v>313.13735089111572</v>
      </c>
      <c r="M35" s="86" t="s">
        <v>25</v>
      </c>
      <c r="N35" s="88">
        <f>N17</f>
        <v>364.06693273871775</v>
      </c>
      <c r="O35" s="86" t="s">
        <v>25</v>
      </c>
      <c r="P35" s="92">
        <f>1.618*D90</f>
        <v>321.89087277117233</v>
      </c>
      <c r="Q35" s="27"/>
      <c r="R35" s="58"/>
    </row>
    <row r="36" spans="2:18">
      <c r="B36" s="58"/>
      <c r="C36" s="27"/>
      <c r="D36" s="46"/>
      <c r="E36" s="97" t="s">
        <v>7</v>
      </c>
      <c r="F36" s="105">
        <f>F10</f>
        <v>0.31406614626267498</v>
      </c>
      <c r="G36" s="80" t="s">
        <v>66</v>
      </c>
      <c r="H36" s="106">
        <f>1000000/(4*D95^2*D98^2*H35*0.000000000001)</f>
        <v>0.21236090662382176</v>
      </c>
      <c r="I36" s="86" t="s">
        <v>7</v>
      </c>
      <c r="J36" s="83">
        <f>J14</f>
        <v>0.16295255251000196</v>
      </c>
      <c r="K36" s="86" t="s">
        <v>7</v>
      </c>
      <c r="L36" s="85">
        <f>1000000/(4*D95^2*D98^2*L35*0.000000000001)</f>
        <v>0.18510747388048507</v>
      </c>
      <c r="M36" s="86" t="s">
        <v>7</v>
      </c>
      <c r="N36" s="83">
        <f>N18</f>
        <v>0.15921265786223143</v>
      </c>
      <c r="O36" s="86" t="s">
        <v>7</v>
      </c>
      <c r="P36" s="87">
        <f>1000000/(4*D95^2*D98^2*P35*0.000000000001)</f>
        <v>0.18007364888002689</v>
      </c>
      <c r="Q36" s="27"/>
      <c r="R36" s="58"/>
    </row>
    <row r="37" spans="2:18">
      <c r="B37" s="58"/>
      <c r="C37" s="27"/>
      <c r="D37" s="58"/>
      <c r="E37" s="58"/>
      <c r="F37" s="58"/>
      <c r="G37" s="86" t="s">
        <v>8</v>
      </c>
      <c r="H37" s="88">
        <f>H29</f>
        <v>6.3671145954520014</v>
      </c>
      <c r="I37" s="86" t="s">
        <v>8</v>
      </c>
      <c r="J37" s="88">
        <f>J11</f>
        <v>4.8047355522408237</v>
      </c>
      <c r="K37" s="86" t="s">
        <v>8</v>
      </c>
      <c r="L37" s="90">
        <f>1000000000000/(4*D95^2*D98^2*L38*0.000001)</f>
        <v>3.478500046416948</v>
      </c>
      <c r="M37" s="86" t="s">
        <v>8</v>
      </c>
      <c r="N37" s="88">
        <f>N15</f>
        <v>3.9803164465557868</v>
      </c>
      <c r="O37" s="86" t="s">
        <v>8</v>
      </c>
      <c r="P37" s="92">
        <f>1000000000000/(4*D95^2*D98^2*P38*0.000001)</f>
        <v>3.3033918808150058</v>
      </c>
      <c r="Q37" s="27"/>
      <c r="R37" s="58"/>
    </row>
    <row r="38" spans="2:18">
      <c r="B38" s="58"/>
      <c r="C38" s="27"/>
      <c r="D38" s="58"/>
      <c r="E38" s="58"/>
      <c r="F38" s="58"/>
      <c r="G38" s="97" t="s">
        <v>26</v>
      </c>
      <c r="H38" s="105">
        <f>H30</f>
        <v>9.1036627552588651</v>
      </c>
      <c r="I38" s="86" t="s">
        <v>26</v>
      </c>
      <c r="J38" s="83">
        <f>J12</f>
        <v>12.063944700150733</v>
      </c>
      <c r="K38" s="86" t="s">
        <v>26</v>
      </c>
      <c r="L38" s="85">
        <f>L34</f>
        <v>16.663522560762292</v>
      </c>
      <c r="M38" s="86" t="s">
        <v>26</v>
      </c>
      <c r="N38" s="83">
        <f>N16</f>
        <v>14.562677309548707</v>
      </c>
      <c r="O38" s="86" t="s">
        <v>26</v>
      </c>
      <c r="P38" s="87">
        <f>2.205*D91</f>
        <v>17.546832495931643</v>
      </c>
      <c r="Q38" s="27"/>
      <c r="R38" s="58"/>
    </row>
    <row r="39" spans="2:18">
      <c r="B39" s="58"/>
      <c r="C39" s="27"/>
      <c r="D39" s="58"/>
      <c r="E39" s="58"/>
      <c r="F39" s="58"/>
      <c r="G39" s="58"/>
      <c r="H39" s="58"/>
      <c r="I39" s="86" t="s">
        <v>27</v>
      </c>
      <c r="J39" s="88">
        <f>J9</f>
        <v>206.22501774696983</v>
      </c>
      <c r="K39" s="86" t="s">
        <v>27</v>
      </c>
      <c r="L39" s="90">
        <f>L31</f>
        <v>283.0968553481942</v>
      </c>
      <c r="M39" s="86" t="s">
        <v>27</v>
      </c>
      <c r="N39" s="88">
        <f>N13</f>
        <v>378.78876499154018</v>
      </c>
      <c r="O39" s="86" t="s">
        <v>27</v>
      </c>
      <c r="P39" s="92">
        <f>P35</f>
        <v>321.89087277117233</v>
      </c>
      <c r="Q39" s="27"/>
      <c r="R39" s="58"/>
    </row>
    <row r="40" spans="2:18">
      <c r="B40" s="58"/>
      <c r="C40" s="27"/>
      <c r="D40" s="58"/>
      <c r="E40" s="58"/>
      <c r="F40" s="58"/>
      <c r="G40" s="58"/>
      <c r="H40" s="58"/>
      <c r="I40" s="97" t="s">
        <v>10</v>
      </c>
      <c r="J40" s="105">
        <f>J10</f>
        <v>0.28107193120575302</v>
      </c>
      <c r="K40" s="86" t="s">
        <v>10</v>
      </c>
      <c r="L40" s="85">
        <f>L32</f>
        <v>0.20474993948551196</v>
      </c>
      <c r="M40" s="86" t="s">
        <v>10</v>
      </c>
      <c r="N40" s="83">
        <f>N14</f>
        <v>0.15302477094951866</v>
      </c>
      <c r="O40" s="86" t="s">
        <v>10</v>
      </c>
      <c r="P40" s="87">
        <f>P36</f>
        <v>0.18007364888002689</v>
      </c>
      <c r="Q40" s="27"/>
      <c r="R40" s="58"/>
    </row>
    <row r="41" spans="2:18">
      <c r="B41" s="58"/>
      <c r="C41" s="27"/>
      <c r="D41" s="58"/>
      <c r="E41" s="58"/>
      <c r="F41" s="58"/>
      <c r="G41" s="58"/>
      <c r="H41" s="58"/>
      <c r="I41" s="58"/>
      <c r="J41" s="58"/>
      <c r="K41" s="86" t="s">
        <v>11</v>
      </c>
      <c r="L41" s="90">
        <f>L29</f>
        <v>6.1833438855662903</v>
      </c>
      <c r="M41" s="86" t="s">
        <v>11</v>
      </c>
      <c r="N41" s="88">
        <f>N11</f>
        <v>4.7732497360400323</v>
      </c>
      <c r="O41" s="86" t="s">
        <v>11</v>
      </c>
      <c r="P41" s="92">
        <f>P33</f>
        <v>3.4165005146327805</v>
      </c>
      <c r="Q41" s="27"/>
      <c r="R41" s="58"/>
    </row>
    <row r="42" spans="2:18">
      <c r="B42" s="58"/>
      <c r="C42" s="27"/>
      <c r="D42" s="58"/>
      <c r="E42" s="58"/>
      <c r="F42" s="58"/>
      <c r="G42" s="58"/>
      <c r="H42" s="58"/>
      <c r="I42" s="58"/>
      <c r="J42" s="58"/>
      <c r="K42" s="97" t="s">
        <v>28</v>
      </c>
      <c r="L42" s="98">
        <f>L30</f>
        <v>9.3742261588242499</v>
      </c>
      <c r="M42" s="86" t="s">
        <v>28</v>
      </c>
      <c r="N42" s="83">
        <f>N12</f>
        <v>12.143522171787613</v>
      </c>
      <c r="O42" s="86" t="s">
        <v>28</v>
      </c>
      <c r="P42" s="87">
        <f>P34</f>
        <v>16.965916952982433</v>
      </c>
      <c r="Q42" s="27"/>
      <c r="R42" s="58"/>
    </row>
    <row r="43" spans="2:18">
      <c r="B43" s="58"/>
      <c r="C43" s="27"/>
      <c r="D43" s="58"/>
      <c r="E43" s="58"/>
      <c r="F43" s="58"/>
      <c r="G43" s="58"/>
      <c r="H43" s="58"/>
      <c r="I43" s="58"/>
      <c r="J43" s="58"/>
      <c r="K43" s="58"/>
      <c r="L43" s="58"/>
      <c r="M43" s="86" t="s">
        <v>29</v>
      </c>
      <c r="N43" s="88">
        <f>N9</f>
        <v>216.09262422994274</v>
      </c>
      <c r="O43" s="86" t="s">
        <v>29</v>
      </c>
      <c r="P43" s="92">
        <f>P31</f>
        <v>287.07572893003811</v>
      </c>
      <c r="Q43" s="27"/>
      <c r="R43" s="58"/>
    </row>
    <row r="44" spans="2:18">
      <c r="B44" s="58"/>
      <c r="C44" s="27"/>
      <c r="D44" s="58"/>
      <c r="E44" s="58"/>
      <c r="F44" s="58"/>
      <c r="G44" s="58"/>
      <c r="H44" s="58"/>
      <c r="I44" s="58"/>
      <c r="J44" s="58"/>
      <c r="K44" s="58"/>
      <c r="L44" s="58"/>
      <c r="M44" s="97" t="s">
        <v>12</v>
      </c>
      <c r="N44" s="105">
        <f>N10</f>
        <v>0.26823712381502812</v>
      </c>
      <c r="O44" s="86" t="s">
        <v>12</v>
      </c>
      <c r="P44" s="87">
        <f>P32</f>
        <v>0.20191210248640573</v>
      </c>
      <c r="Q44" s="27"/>
      <c r="R44" s="58"/>
    </row>
    <row r="45" spans="2:18">
      <c r="B45" s="58"/>
      <c r="C45" s="27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86" t="s">
        <v>38</v>
      </c>
      <c r="P45" s="92">
        <f>P29</f>
        <v>6.1055985726714912</v>
      </c>
      <c r="Q45" s="27"/>
      <c r="R45" s="58"/>
    </row>
    <row r="46" spans="2:18" ht="15" thickBot="1">
      <c r="B46" s="58"/>
      <c r="C46" s="17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100" t="s">
        <v>30</v>
      </c>
      <c r="P46" s="107">
        <f>P30</f>
        <v>9.493592366279568</v>
      </c>
      <c r="Q46" s="27"/>
      <c r="R46" s="58"/>
    </row>
    <row r="47" spans="2:18" ht="15" thickTop="1">
      <c r="B47" s="58"/>
      <c r="C47" s="14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</row>
    <row r="48" spans="2:18">
      <c r="B48" s="58"/>
      <c r="C48" s="46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</row>
    <row r="49" spans="2:18"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</row>
    <row r="50" spans="2:18"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</row>
    <row r="51" spans="2:18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</row>
    <row r="52" spans="2:18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</row>
    <row r="53" spans="2:18"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</row>
    <row r="54" spans="2:18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</row>
    <row r="55" spans="2:18"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</row>
    <row r="56" spans="2:18"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</row>
    <row r="57" spans="2:18"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</row>
    <row r="58" spans="2:18"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</row>
    <row r="59" spans="2:18"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</row>
    <row r="60" spans="2:18"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</row>
    <row r="61" spans="2:18"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</row>
    <row r="62" spans="2:18"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</row>
    <row r="63" spans="2:18"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</row>
    <row r="64" spans="2:18"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</row>
    <row r="65" spans="2:18"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</row>
    <row r="66" spans="2:18"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</row>
    <row r="67" spans="2:18"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</row>
    <row r="68" spans="2:18"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</row>
    <row r="69" spans="2:18"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</row>
    <row r="70" spans="2:18"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</row>
    <row r="71" spans="2:18"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</row>
    <row r="72" spans="2:18"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</row>
    <row r="73" spans="2:18"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</row>
    <row r="74" spans="2:18"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</row>
    <row r="75" spans="2:18"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</row>
    <row r="76" spans="2:18"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</row>
    <row r="77" spans="2:18"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</row>
    <row r="78" spans="2:18"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</row>
    <row r="79" spans="2:18"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</row>
    <row r="80" spans="2:18"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</row>
    <row r="81" spans="2:18"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</row>
    <row r="89" spans="2:18" ht="15" thickBot="1"/>
    <row r="90" spans="2:18" ht="15" thickTop="1">
      <c r="C90" s="69" t="s">
        <v>5</v>
      </c>
      <c r="D90" s="70">
        <f>1000000000000*D100*D99</f>
        <v>198.94367909219548</v>
      </c>
    </row>
    <row r="91" spans="2:18" ht="15" thickBot="1">
      <c r="C91" s="72" t="s">
        <v>6</v>
      </c>
      <c r="D91" s="73">
        <f>1000000*D101*D99</f>
        <v>7.9577471636878192</v>
      </c>
    </row>
    <row r="92" spans="2:18" ht="15" thickTop="1"/>
    <row r="93" spans="2:18">
      <c r="C93" t="s">
        <v>47</v>
      </c>
      <c r="D93">
        <f>1000000*E5</f>
        <v>21000000</v>
      </c>
    </row>
    <row r="94" spans="2:18">
      <c r="C94" t="s">
        <v>48</v>
      </c>
      <c r="D94">
        <f>1000000*E6</f>
        <v>4000000</v>
      </c>
    </row>
    <row r="95" spans="2:18">
      <c r="C95" t="s">
        <v>49</v>
      </c>
      <c r="D95">
        <v>3.1415926500000002</v>
      </c>
    </row>
    <row r="96" spans="2:18">
      <c r="C96" t="s">
        <v>50</v>
      </c>
      <c r="D96">
        <f>D93+D94/2</f>
        <v>23000000</v>
      </c>
    </row>
    <row r="97" spans="3:4">
      <c r="C97" t="s">
        <v>51</v>
      </c>
      <c r="D97">
        <f>D93-D94/2</f>
        <v>19000000</v>
      </c>
    </row>
    <row r="98" spans="3:4">
      <c r="C98" t="s">
        <v>52</v>
      </c>
      <c r="D98">
        <f>(D96*D97)^0.5</f>
        <v>20904544.960366871</v>
      </c>
    </row>
    <row r="99" spans="3:4">
      <c r="C99" t="s">
        <v>53</v>
      </c>
      <c r="D99">
        <f>D98/(D96-D97)</f>
        <v>5.2261362400917175</v>
      </c>
    </row>
    <row r="100" spans="3:4">
      <c r="C100" t="s">
        <v>54</v>
      </c>
      <c r="D100">
        <f>1/(2*D95*D98*E4)</f>
        <v>3.8067067131932261E-11</v>
      </c>
    </row>
    <row r="101" spans="3:4">
      <c r="C101" t="s">
        <v>55</v>
      </c>
      <c r="D101">
        <f>E4/(2*D95*D98)</f>
        <v>1.5226826852772904E-6</v>
      </c>
    </row>
    <row r="103" spans="3:4">
      <c r="C103" t="s">
        <v>61</v>
      </c>
      <c r="D103">
        <f>(4*D95^2*D98^2)</f>
        <v>1.7252068453677472E+16</v>
      </c>
    </row>
    <row r="104" spans="3:4">
      <c r="C104" t="s">
        <v>71</v>
      </c>
      <c r="D104">
        <f>D103*0.000001</f>
        <v>17252068453.677471</v>
      </c>
    </row>
    <row r="105" spans="3:4">
      <c r="C105" t="s">
        <v>72</v>
      </c>
      <c r="D105">
        <f>D103*0.000000000001</f>
        <v>17252.068453677472</v>
      </c>
    </row>
  </sheetData>
  <sheetProtection sheet="1" objects="1" scenarios="1"/>
  <pageMargins left="0.7" right="0.7" top="0.75" bottom="0.75" header="0.3" footer="0.3"/>
  <pageSetup orientation="portrait" horizontalDpi="4294967293" verticalDpi="0" r:id="rId1"/>
  <drawing r:id="rId2"/>
  <picture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B1:T70"/>
  <sheetViews>
    <sheetView showGridLines="0" topLeftCell="A4" workbookViewId="0">
      <selection activeCell="G67" sqref="G67"/>
    </sheetView>
  </sheetViews>
  <sheetFormatPr defaultRowHeight="14.4"/>
  <cols>
    <col min="1" max="1" width="1.44140625" customWidth="1"/>
    <col min="2" max="2" width="3.33203125" customWidth="1"/>
    <col min="4" max="4" width="11.33203125" customWidth="1"/>
    <col min="5" max="5" width="14.109375" customWidth="1"/>
    <col min="7" max="7" width="13.88671875" customWidth="1"/>
    <col min="9" max="9" width="13.5546875" customWidth="1"/>
    <col min="11" max="11" width="13" customWidth="1"/>
    <col min="13" max="13" width="12.5546875" customWidth="1"/>
    <col min="14" max="14" width="1.44140625" customWidth="1"/>
    <col min="17" max="17" width="17.88671875" customWidth="1"/>
    <col min="18" max="18" width="2" customWidth="1"/>
    <col min="20" max="20" width="25.109375" customWidth="1"/>
  </cols>
  <sheetData>
    <row r="1" spans="2:20" ht="15" thickBot="1"/>
    <row r="2" spans="2:20" ht="18.600000000000001" thickTop="1">
      <c r="C2" s="1" t="s">
        <v>145</v>
      </c>
      <c r="S2" s="16" t="s">
        <v>213</v>
      </c>
      <c r="T2" s="9"/>
    </row>
    <row r="3" spans="2:20" ht="15" thickBot="1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27" t="s">
        <v>228</v>
      </c>
      <c r="T3" s="28"/>
    </row>
    <row r="4" spans="2:20" ht="15" thickTop="1">
      <c r="B4" s="58"/>
      <c r="C4" s="34" t="s">
        <v>76</v>
      </c>
      <c r="D4" s="35"/>
      <c r="E4" s="35"/>
      <c r="F4" s="124">
        <v>1250</v>
      </c>
      <c r="G4" s="58"/>
      <c r="H4" s="58"/>
      <c r="I4" s="58"/>
      <c r="L4" s="58"/>
      <c r="M4" s="58"/>
      <c r="N4" s="58"/>
      <c r="O4" s="58"/>
      <c r="P4" s="58"/>
      <c r="Q4" s="58"/>
      <c r="R4" s="58"/>
      <c r="S4" s="27" t="s">
        <v>74</v>
      </c>
      <c r="T4" s="28"/>
    </row>
    <row r="5" spans="2:20" ht="15" thickBot="1">
      <c r="B5" s="58"/>
      <c r="C5" s="36" t="s">
        <v>77</v>
      </c>
      <c r="D5" s="37"/>
      <c r="E5" s="37"/>
      <c r="F5" s="125">
        <v>60</v>
      </c>
      <c r="G5" s="58"/>
      <c r="H5" s="58"/>
      <c r="I5" s="58"/>
      <c r="L5" s="58"/>
      <c r="M5" s="58"/>
      <c r="N5" s="58"/>
      <c r="O5" s="58"/>
      <c r="P5" s="58"/>
      <c r="Q5" s="58"/>
      <c r="R5" s="58"/>
      <c r="S5" s="27" t="s">
        <v>209</v>
      </c>
      <c r="T5" s="28"/>
    </row>
    <row r="6" spans="2:20" ht="15.6" thickTop="1" thickBot="1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5" t="s">
        <v>165</v>
      </c>
      <c r="T6" s="28"/>
    </row>
    <row r="7" spans="2:20" ht="15" thickTop="1">
      <c r="B7" s="58"/>
      <c r="C7" s="16"/>
      <c r="D7" s="12" t="s">
        <v>143</v>
      </c>
      <c r="E7" s="14"/>
      <c r="F7" s="12" t="s">
        <v>80</v>
      </c>
      <c r="G7" s="14"/>
      <c r="H7" s="12" t="s">
        <v>79</v>
      </c>
      <c r="I7" s="13"/>
      <c r="J7" s="14" t="s">
        <v>81</v>
      </c>
      <c r="K7" s="13"/>
      <c r="L7" s="12" t="s">
        <v>82</v>
      </c>
      <c r="M7" s="108"/>
      <c r="N7" s="27"/>
      <c r="O7" s="26" t="s">
        <v>88</v>
      </c>
      <c r="P7" s="126"/>
      <c r="Q7" s="127"/>
      <c r="R7" s="46"/>
      <c r="S7" s="29" t="s">
        <v>97</v>
      </c>
      <c r="T7" s="28"/>
    </row>
    <row r="8" spans="2:20">
      <c r="B8" s="58"/>
      <c r="C8" s="27"/>
      <c r="D8" s="80" t="s">
        <v>2</v>
      </c>
      <c r="E8" s="102">
        <f>1.0102*D68</f>
        <v>2.1437109801524357</v>
      </c>
      <c r="F8" s="79" t="s">
        <v>2</v>
      </c>
      <c r="G8" s="78">
        <f>0.8775*D68</f>
        <v>1.8621128341751751</v>
      </c>
      <c r="H8" s="79" t="s">
        <v>2</v>
      </c>
      <c r="I8" s="77">
        <f>1.076*D68</f>
        <v>2.283342916891725</v>
      </c>
      <c r="J8" s="79" t="s">
        <v>2</v>
      </c>
      <c r="K8" s="77">
        <f>0.8755*D68</f>
        <v>1.8578687023593914</v>
      </c>
      <c r="L8" s="79" t="s">
        <v>2</v>
      </c>
      <c r="M8" s="78">
        <f>1.066*D68</f>
        <v>2.2621222578128055</v>
      </c>
      <c r="N8" s="27"/>
      <c r="O8" s="38" t="s">
        <v>89</v>
      </c>
      <c r="P8" s="39" t="s">
        <v>90</v>
      </c>
      <c r="Q8" s="128">
        <f>1/(2*PI()*(E9*E10*0.000000000000000001)^0.5)/1000000</f>
        <v>362.4355593692996</v>
      </c>
      <c r="R8" s="46"/>
      <c r="S8" s="29" t="s">
        <v>102</v>
      </c>
      <c r="T8" s="28"/>
    </row>
    <row r="9" spans="2:20">
      <c r="B9" s="58"/>
      <c r="C9" s="15" t="s">
        <v>0</v>
      </c>
      <c r="D9" s="86" t="s">
        <v>78</v>
      </c>
      <c r="E9" s="83">
        <f>1.1186*D69</f>
        <v>3.7089733196373778</v>
      </c>
      <c r="F9" s="86" t="s">
        <v>78</v>
      </c>
      <c r="G9" s="90">
        <f>1.349*D69</f>
        <v>4.4729170464784751</v>
      </c>
      <c r="H9" s="86" t="s">
        <v>78</v>
      </c>
      <c r="I9" s="83">
        <f>1.282*D69</f>
        <v>4.2507632717460382</v>
      </c>
      <c r="J9" s="86" t="s">
        <v>78</v>
      </c>
      <c r="K9" s="83">
        <f>1.29*D69</f>
        <v>4.2772890955946874</v>
      </c>
      <c r="L9" s="86" t="s">
        <v>78</v>
      </c>
      <c r="M9" s="85">
        <f>1.274*D69</f>
        <v>4.224237447897389</v>
      </c>
      <c r="N9" s="27"/>
      <c r="O9" s="40"/>
      <c r="P9" s="41"/>
      <c r="Q9" s="129"/>
      <c r="R9" s="46"/>
      <c r="S9" s="29" t="s">
        <v>163</v>
      </c>
      <c r="T9" s="28"/>
    </row>
    <row r="10" spans="2:20">
      <c r="B10" s="58"/>
      <c r="C10" s="15" t="s">
        <v>9</v>
      </c>
      <c r="D10" s="86" t="s">
        <v>23</v>
      </c>
      <c r="E10" s="88">
        <f>0.0245*D68</f>
        <v>5.1990614743352474E-2</v>
      </c>
      <c r="F10" s="86" t="s">
        <v>23</v>
      </c>
      <c r="G10" s="90">
        <f>0.05363*D68</f>
        <v>0.11380639464024461</v>
      </c>
      <c r="H10" s="86" t="s">
        <v>23</v>
      </c>
      <c r="I10" s="88">
        <f>0.08396*D68</f>
        <v>0.17816865362660711</v>
      </c>
      <c r="J10" s="86" t="s">
        <v>23</v>
      </c>
      <c r="K10" s="88">
        <f>0.1717*D68</f>
        <v>0.36435871638504569</v>
      </c>
      <c r="L10" s="86" t="s">
        <v>23</v>
      </c>
      <c r="M10" s="90">
        <f>0.1373*D68</f>
        <v>0.29135964915356305</v>
      </c>
      <c r="N10" s="27"/>
      <c r="O10" s="38" t="s">
        <v>95</v>
      </c>
      <c r="P10" s="39" t="s">
        <v>90</v>
      </c>
      <c r="Q10" s="128">
        <f>1/(2*PI()*(G9*G10*0.000000000000000001)^0.5)/1000000</f>
        <v>223.07010775493811</v>
      </c>
      <c r="R10" s="46"/>
      <c r="S10" s="29" t="s">
        <v>139</v>
      </c>
      <c r="T10" s="28"/>
    </row>
    <row r="11" spans="2:20">
      <c r="B11" s="58"/>
      <c r="C11" s="15"/>
      <c r="D11" s="99" t="s">
        <v>4</v>
      </c>
      <c r="E11" s="115">
        <f>1.0102*D68</f>
        <v>2.1437109801524357</v>
      </c>
      <c r="F11" s="91" t="s">
        <v>4</v>
      </c>
      <c r="G11" s="90">
        <f>1.4*D68</f>
        <v>2.9708922710487125</v>
      </c>
      <c r="H11" s="91" t="s">
        <v>4</v>
      </c>
      <c r="I11" s="88">
        <f>1.767*D68</f>
        <v>3.7496904592450537</v>
      </c>
      <c r="J11" s="91" t="s">
        <v>4</v>
      </c>
      <c r="K11" s="88">
        <f>1.453*D68</f>
        <v>3.0833617641669857</v>
      </c>
      <c r="L11" s="91" t="s">
        <v>4</v>
      </c>
      <c r="M11" s="90">
        <f>1.553*D68</f>
        <v>3.2955683549561789</v>
      </c>
      <c r="N11" s="27"/>
      <c r="O11" s="40"/>
      <c r="P11" s="41"/>
      <c r="Q11" s="130"/>
      <c r="R11" s="27"/>
      <c r="S11" s="27" t="s">
        <v>176</v>
      </c>
      <c r="T11" s="28"/>
    </row>
    <row r="12" spans="2:20">
      <c r="B12" s="58"/>
      <c r="C12" s="15"/>
      <c r="D12" s="46"/>
      <c r="E12" s="46"/>
      <c r="F12" s="131" t="s">
        <v>7</v>
      </c>
      <c r="G12" s="132">
        <f>0.9292*D69</f>
        <v>3.0809744400206074</v>
      </c>
      <c r="H12" s="91" t="s">
        <v>7</v>
      </c>
      <c r="I12" s="83">
        <f>1.112*D69</f>
        <v>3.6870895149622425</v>
      </c>
      <c r="J12" s="91" t="s">
        <v>7</v>
      </c>
      <c r="K12" s="83">
        <f>1.304*D69</f>
        <v>4.323709287329824</v>
      </c>
      <c r="L12" s="91" t="s">
        <v>7</v>
      </c>
      <c r="M12" s="85">
        <f>0.9117*D69</f>
        <v>3.0229492003516869</v>
      </c>
      <c r="N12" s="27"/>
      <c r="O12" s="38" t="s">
        <v>91</v>
      </c>
      <c r="P12" s="39" t="s">
        <v>90</v>
      </c>
      <c r="Q12" s="128">
        <f>1/(2*PI()*(I9*I10*0.000000000000000001)^0.5)/1000000</f>
        <v>182.88202539646466</v>
      </c>
      <c r="R12" s="46"/>
      <c r="S12" s="27" t="s">
        <v>191</v>
      </c>
      <c r="T12" s="28"/>
    </row>
    <row r="13" spans="2:20">
      <c r="B13" s="58"/>
      <c r="C13" s="15"/>
      <c r="D13" s="46"/>
      <c r="E13" s="46"/>
      <c r="F13" s="133" t="s">
        <v>25</v>
      </c>
      <c r="G13" s="134" t="s">
        <v>86</v>
      </c>
      <c r="H13" s="80" t="s">
        <v>25</v>
      </c>
      <c r="I13" s="102">
        <f>0.2317*D68</f>
        <v>0.49168267085856193</v>
      </c>
      <c r="J13" s="80" t="s">
        <v>25</v>
      </c>
      <c r="K13" s="88">
        <f>0.3042*D68</f>
        <v>0.6455324491807275</v>
      </c>
      <c r="L13" s="86" t="s">
        <v>25</v>
      </c>
      <c r="M13" s="90">
        <f>0.6789*D68</f>
        <v>1.4406705448678363</v>
      </c>
      <c r="N13" s="27"/>
      <c r="O13" s="38"/>
      <c r="P13" s="39" t="s">
        <v>92</v>
      </c>
      <c r="Q13" s="128">
        <f>1/(2*PI()*(I12*I13*0.000000000000000001)^0.5)/1000000</f>
        <v>118.20499796900732</v>
      </c>
      <c r="R13" s="46"/>
      <c r="S13" s="27" t="s">
        <v>210</v>
      </c>
      <c r="T13" s="28"/>
    </row>
    <row r="14" spans="2:20">
      <c r="B14" s="58"/>
      <c r="C14" s="15"/>
      <c r="D14" s="46"/>
      <c r="E14" s="46"/>
      <c r="F14" s="46"/>
      <c r="G14" s="46"/>
      <c r="H14" s="95" t="s">
        <v>8</v>
      </c>
      <c r="I14" s="135">
        <f>0.9509*D68</f>
        <v>2.0178724718144436</v>
      </c>
      <c r="J14" s="131" t="s">
        <v>8</v>
      </c>
      <c r="K14" s="136">
        <f>1.297*D68</f>
        <v>2.7523194825358432</v>
      </c>
      <c r="L14" s="91" t="s">
        <v>8</v>
      </c>
      <c r="M14" s="90">
        <f>1.375*D68</f>
        <v>2.9178406233514145</v>
      </c>
      <c r="N14" s="27"/>
      <c r="O14" s="38"/>
      <c r="P14" s="39"/>
      <c r="Q14" s="128"/>
      <c r="R14" s="46"/>
      <c r="S14" s="27" t="s">
        <v>208</v>
      </c>
      <c r="T14" s="28"/>
    </row>
    <row r="15" spans="2:20" ht="15" thickBot="1">
      <c r="B15" s="58"/>
      <c r="C15" s="15"/>
      <c r="D15" s="46"/>
      <c r="E15" s="46"/>
      <c r="F15" s="46"/>
      <c r="G15" s="46"/>
      <c r="H15" s="46"/>
      <c r="I15" s="46"/>
      <c r="J15" s="137" t="s">
        <v>10</v>
      </c>
      <c r="K15" s="138">
        <f>1.031*D69</f>
        <v>3.4185155484946685</v>
      </c>
      <c r="L15" s="86" t="s">
        <v>10</v>
      </c>
      <c r="M15" s="85">
        <f>0.9406*D69</f>
        <v>3.1187737390049324</v>
      </c>
      <c r="N15" s="27"/>
      <c r="O15" s="42" t="s">
        <v>93</v>
      </c>
      <c r="P15" s="43" t="s">
        <v>90</v>
      </c>
      <c r="Q15" s="139">
        <f>1/(2*PI()*(K9*K10*0.000000000000000001)^0.5)/1000000</f>
        <v>127.48856936938343</v>
      </c>
      <c r="R15" s="46"/>
      <c r="S15" s="17" t="s">
        <v>225</v>
      </c>
      <c r="T15" s="30"/>
    </row>
    <row r="16" spans="2:20" ht="15" thickTop="1">
      <c r="B16" s="58"/>
      <c r="C16" s="15"/>
      <c r="D16" s="46"/>
      <c r="E16" s="46"/>
      <c r="F16" s="46"/>
      <c r="G16" s="46"/>
      <c r="H16" s="46"/>
      <c r="I16" s="46"/>
      <c r="J16" s="140" t="s">
        <v>27</v>
      </c>
      <c r="K16" s="134" t="s">
        <v>86</v>
      </c>
      <c r="L16" s="131" t="s">
        <v>27</v>
      </c>
      <c r="M16" s="141">
        <f>0.4914*D68</f>
        <v>1.0427831871380981</v>
      </c>
      <c r="N16" s="27"/>
      <c r="O16" s="38"/>
      <c r="P16" s="39" t="s">
        <v>92</v>
      </c>
      <c r="Q16" s="128">
        <f>1/(2*PI()*(K12*K13*0.000000000000000001)^0.5)/1000000</f>
        <v>95.264885503474986</v>
      </c>
      <c r="R16" s="46"/>
      <c r="S16" s="46"/>
      <c r="T16" s="46"/>
    </row>
    <row r="17" spans="2:20">
      <c r="B17" s="58"/>
      <c r="C17" s="15"/>
      <c r="D17" s="46"/>
      <c r="E17" s="46"/>
      <c r="F17" s="46" t="s">
        <v>83</v>
      </c>
      <c r="G17" s="46"/>
      <c r="H17" s="46"/>
      <c r="I17" s="46"/>
      <c r="J17" s="46"/>
      <c r="K17" s="46"/>
      <c r="L17" s="142" t="s">
        <v>11</v>
      </c>
      <c r="M17" s="143">
        <f>0.8062*D68</f>
        <v>1.7108095349424803</v>
      </c>
      <c r="N17" s="46"/>
      <c r="O17" s="38"/>
      <c r="P17" s="39"/>
      <c r="Q17" s="128"/>
      <c r="R17" s="46"/>
      <c r="S17" s="46"/>
      <c r="T17" s="46"/>
    </row>
    <row r="18" spans="2:20" ht="15" thickBot="1">
      <c r="B18" s="58"/>
      <c r="C18" s="144"/>
      <c r="D18" s="33"/>
      <c r="E18" s="33"/>
      <c r="F18" s="33"/>
      <c r="G18" s="33"/>
      <c r="H18" s="33"/>
      <c r="I18" s="33"/>
      <c r="J18" s="33"/>
      <c r="K18" s="33"/>
      <c r="L18" s="33"/>
      <c r="M18" s="30"/>
      <c r="N18" s="46"/>
      <c r="O18" s="42" t="s">
        <v>101</v>
      </c>
      <c r="P18" s="43"/>
      <c r="Q18" s="139">
        <f>1/(2*PI()*(M9*M10*0.000000000000000001)^0.5)/1000000</f>
        <v>143.46014576302773</v>
      </c>
      <c r="R18" s="46"/>
      <c r="S18" s="46"/>
      <c r="T18" s="46"/>
    </row>
    <row r="19" spans="2:20" ht="15.6" thickTop="1" thickBot="1">
      <c r="B19" s="58"/>
      <c r="C19" s="48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38"/>
      <c r="P19" s="39" t="s">
        <v>92</v>
      </c>
      <c r="Q19" s="128">
        <f>1/(2*PI()*(M12*M13*0.000000000000000001)^0.5)/1000000</f>
        <v>76.264489697576622</v>
      </c>
      <c r="R19" s="46"/>
      <c r="S19" s="46"/>
      <c r="T19" s="46"/>
    </row>
    <row r="20" spans="2:20" ht="15.6" thickTop="1" thickBot="1">
      <c r="B20" s="58"/>
      <c r="C20" s="118"/>
      <c r="D20" s="12" t="s">
        <v>144</v>
      </c>
      <c r="E20" s="14"/>
      <c r="F20" s="12" t="s">
        <v>80</v>
      </c>
      <c r="G20" s="13"/>
      <c r="H20" s="14" t="s">
        <v>79</v>
      </c>
      <c r="I20" s="14"/>
      <c r="J20" s="12" t="s">
        <v>34</v>
      </c>
      <c r="K20" s="14"/>
      <c r="L20" s="12" t="s">
        <v>69</v>
      </c>
      <c r="M20" s="108"/>
      <c r="N20" s="46"/>
      <c r="O20" s="44"/>
      <c r="P20" s="45" t="s">
        <v>94</v>
      </c>
      <c r="Q20" s="145">
        <f>1/(2*PI()*(M15*M16*0.000000000000000001)^0.5)/1000000</f>
        <v>88.253347438212742</v>
      </c>
      <c r="R20" s="46"/>
      <c r="S20" s="46"/>
      <c r="T20" s="46"/>
    </row>
    <row r="21" spans="2:20" ht="15" thickTop="1">
      <c r="B21" s="58"/>
      <c r="C21" s="15"/>
      <c r="D21" s="80" t="s">
        <v>22</v>
      </c>
      <c r="E21" s="106">
        <f>1.0102*D69</f>
        <v>3.3495484064881809</v>
      </c>
      <c r="F21" s="79" t="s">
        <v>22</v>
      </c>
      <c r="G21" s="146">
        <f>0.8775*D69</f>
        <v>2.9095513033987115</v>
      </c>
      <c r="H21" s="80" t="s">
        <v>22</v>
      </c>
      <c r="I21" s="106">
        <f>1.076*D69</f>
        <v>3.567723307643321</v>
      </c>
      <c r="J21" s="80" t="s">
        <v>22</v>
      </c>
      <c r="K21" s="106">
        <f>0.8755*D69</f>
        <v>2.9029198474365492</v>
      </c>
      <c r="L21" s="80" t="s">
        <v>22</v>
      </c>
      <c r="M21" s="109">
        <f>1.066*D69</f>
        <v>3.5345660278325095</v>
      </c>
      <c r="N21" s="46"/>
      <c r="O21" s="46"/>
      <c r="P21" s="46"/>
      <c r="Q21" s="46"/>
      <c r="R21" s="46"/>
      <c r="S21" s="46"/>
      <c r="T21" s="46"/>
    </row>
    <row r="22" spans="2:20">
      <c r="B22" s="58"/>
      <c r="C22" s="15" t="s">
        <v>1</v>
      </c>
      <c r="D22" s="86" t="s">
        <v>23</v>
      </c>
      <c r="E22" s="88">
        <f>1.1186*D68</f>
        <v>2.3737429245679218</v>
      </c>
      <c r="F22" s="86" t="s">
        <v>23</v>
      </c>
      <c r="G22" s="88">
        <f>1.349*D68</f>
        <v>2.8626669097462241</v>
      </c>
      <c r="H22" s="86" t="s">
        <v>23</v>
      </c>
      <c r="I22" s="90">
        <f>1.282*D68</f>
        <v>2.7204884939174643</v>
      </c>
      <c r="J22" s="86" t="s">
        <v>23</v>
      </c>
      <c r="K22" s="90">
        <f>1.29*D68</f>
        <v>2.7374650211805998</v>
      </c>
      <c r="L22" s="86" t="s">
        <v>23</v>
      </c>
      <c r="M22" s="92">
        <f>1.274*D68</f>
        <v>2.7035119666543288</v>
      </c>
      <c r="N22" s="46"/>
      <c r="O22" s="46"/>
      <c r="P22" s="48"/>
      <c r="Q22" s="46"/>
      <c r="R22" s="46"/>
      <c r="S22" s="46"/>
      <c r="T22" s="46"/>
    </row>
    <row r="23" spans="2:20">
      <c r="B23" s="58"/>
      <c r="C23" s="15"/>
      <c r="D23" s="86" t="s">
        <v>3</v>
      </c>
      <c r="E23" s="83">
        <f>0.0245*D69</f>
        <v>8.1235335536488248E-2</v>
      </c>
      <c r="F23" s="86" t="s">
        <v>3</v>
      </c>
      <c r="G23" s="83">
        <f>0.05363*D69</f>
        <v>0.17782249162538222</v>
      </c>
      <c r="H23" s="86" t="s">
        <v>3</v>
      </c>
      <c r="I23" s="85">
        <f>0.08396*D69</f>
        <v>0.27838852129157365</v>
      </c>
      <c r="J23" s="86" t="s">
        <v>3</v>
      </c>
      <c r="K23" s="85">
        <f>0.1717*D69</f>
        <v>0.56931049435163394</v>
      </c>
      <c r="L23" s="86" t="s">
        <v>3</v>
      </c>
      <c r="M23" s="87">
        <f>0.1373*D69</f>
        <v>0.45524945180244236</v>
      </c>
      <c r="N23" s="46"/>
      <c r="O23" s="46"/>
      <c r="P23" s="48"/>
      <c r="Q23" s="46"/>
      <c r="R23" s="46"/>
      <c r="S23" s="46"/>
      <c r="T23" s="46"/>
    </row>
    <row r="24" spans="2:20">
      <c r="B24" s="58"/>
      <c r="C24" s="27"/>
      <c r="D24" s="97" t="s">
        <v>24</v>
      </c>
      <c r="E24" s="98">
        <f>E21</f>
        <v>3.3495484064881809</v>
      </c>
      <c r="F24" s="86" t="s">
        <v>24</v>
      </c>
      <c r="G24" s="83">
        <f>1.4*D69</f>
        <v>4.6420191735136136</v>
      </c>
      <c r="H24" s="86" t="s">
        <v>24</v>
      </c>
      <c r="I24" s="85">
        <f>1.767*D69</f>
        <v>5.8588913425703968</v>
      </c>
      <c r="J24" s="86" t="s">
        <v>24</v>
      </c>
      <c r="K24" s="85">
        <f>1.453*D69</f>
        <v>4.8177527565109157</v>
      </c>
      <c r="L24" s="86" t="s">
        <v>24</v>
      </c>
      <c r="M24" s="87">
        <f>1.553*D69</f>
        <v>5.1493255546190309</v>
      </c>
      <c r="N24" s="46"/>
      <c r="O24" s="46"/>
      <c r="P24" s="48"/>
      <c r="Q24" s="46"/>
      <c r="R24" s="46"/>
      <c r="S24" s="46"/>
      <c r="T24" s="46"/>
    </row>
    <row r="25" spans="2:20">
      <c r="B25" s="58"/>
      <c r="C25" s="27"/>
      <c r="D25" s="46"/>
      <c r="E25" s="46"/>
      <c r="F25" s="147" t="s">
        <v>25</v>
      </c>
      <c r="G25" s="132">
        <f>0.9292*D68</f>
        <v>1.9718236416131887</v>
      </c>
      <c r="H25" s="86" t="s">
        <v>25</v>
      </c>
      <c r="I25" s="90">
        <f>1.112*D68</f>
        <v>2.3597372895758348</v>
      </c>
      <c r="J25" s="86" t="s">
        <v>25</v>
      </c>
      <c r="K25" s="90">
        <f>1.304*D68</f>
        <v>2.7671739438910867</v>
      </c>
      <c r="L25" s="86" t="s">
        <v>25</v>
      </c>
      <c r="M25" s="92">
        <f>0.9117*D68</f>
        <v>1.9346874882250795</v>
      </c>
      <c r="N25" s="58"/>
      <c r="O25" s="58"/>
      <c r="P25" s="48"/>
      <c r="Q25" s="58"/>
      <c r="R25" s="58"/>
      <c r="S25" s="58"/>
      <c r="T25" s="58"/>
    </row>
    <row r="26" spans="2:20">
      <c r="B26" s="58"/>
      <c r="C26" s="27"/>
      <c r="D26" s="46"/>
      <c r="E26" s="46"/>
      <c r="F26" s="148" t="s">
        <v>7</v>
      </c>
      <c r="G26" s="149" t="s">
        <v>87</v>
      </c>
      <c r="H26" s="86" t="s">
        <v>7</v>
      </c>
      <c r="I26" s="90">
        <f>0.2317*D69</f>
        <v>0.76825417321650313</v>
      </c>
      <c r="J26" s="86" t="s">
        <v>7</v>
      </c>
      <c r="K26" s="85">
        <f>0.3402*D69</f>
        <v>1.1280106591638084</v>
      </c>
      <c r="L26" s="86" t="s">
        <v>7</v>
      </c>
      <c r="M26" s="87">
        <f>0.6789*D69</f>
        <v>2.2510477263559947</v>
      </c>
      <c r="N26" s="58"/>
      <c r="O26" s="58"/>
      <c r="P26" s="48"/>
      <c r="Q26" s="58"/>
      <c r="R26" s="58"/>
      <c r="S26" s="58"/>
      <c r="T26" s="58"/>
    </row>
    <row r="27" spans="2:20">
      <c r="B27" s="58"/>
      <c r="C27" s="27"/>
      <c r="D27" s="46"/>
      <c r="E27" s="46"/>
      <c r="F27" s="46"/>
      <c r="G27" s="46"/>
      <c r="H27" s="97" t="s">
        <v>26</v>
      </c>
      <c r="I27" s="98">
        <f>0.9509*D69</f>
        <v>3.1529257372100683</v>
      </c>
      <c r="J27" s="86" t="s">
        <v>26</v>
      </c>
      <c r="K27" s="85">
        <f>1.297*D69</f>
        <v>4.3004991914622552</v>
      </c>
      <c r="L27" s="86" t="s">
        <v>26</v>
      </c>
      <c r="M27" s="87">
        <f>1.375*D69</f>
        <v>4.5591259739865855</v>
      </c>
      <c r="N27" s="58"/>
      <c r="O27" s="58"/>
      <c r="P27" s="58"/>
      <c r="Q27" s="58"/>
      <c r="R27" s="58"/>
      <c r="S27" s="58"/>
      <c r="T27" s="58"/>
    </row>
    <row r="28" spans="2:20">
      <c r="B28" s="58"/>
      <c r="C28" s="27"/>
      <c r="D28" s="46"/>
      <c r="E28" s="58"/>
      <c r="F28" s="58"/>
      <c r="G28" s="46"/>
      <c r="H28" s="46"/>
      <c r="I28" s="46"/>
      <c r="J28" s="80" t="s">
        <v>27</v>
      </c>
      <c r="K28" s="81">
        <f>1.031*K15</f>
        <v>3.5244895304980028</v>
      </c>
      <c r="L28" s="86" t="s">
        <v>27</v>
      </c>
      <c r="M28" s="92">
        <f>0.9406*D68</f>
        <v>1.9960151929631567</v>
      </c>
      <c r="N28" s="58"/>
      <c r="O28" s="58"/>
      <c r="P28" s="58"/>
      <c r="Q28" s="58"/>
      <c r="R28" s="58"/>
      <c r="S28" s="58"/>
      <c r="T28" s="58"/>
    </row>
    <row r="29" spans="2:20">
      <c r="B29" s="58"/>
      <c r="C29" s="27"/>
      <c r="D29" s="46"/>
      <c r="E29" s="46"/>
      <c r="F29" s="46"/>
      <c r="G29" s="46"/>
      <c r="H29" s="46"/>
      <c r="I29" s="46"/>
      <c r="J29" s="150" t="s">
        <v>10</v>
      </c>
      <c r="K29" s="151" t="s">
        <v>87</v>
      </c>
      <c r="L29" s="80" t="s">
        <v>10</v>
      </c>
      <c r="M29" s="109">
        <f>0.4914*D69</f>
        <v>1.6293487299032787</v>
      </c>
      <c r="N29" s="58"/>
      <c r="O29" s="58"/>
      <c r="P29" s="58"/>
      <c r="Q29" s="58"/>
      <c r="R29" s="58"/>
      <c r="S29" s="58"/>
      <c r="T29" s="58"/>
    </row>
    <row r="30" spans="2:20">
      <c r="B30" s="58"/>
      <c r="C30" s="27"/>
      <c r="D30" s="46"/>
      <c r="E30" s="46"/>
      <c r="F30" s="111" t="s">
        <v>44</v>
      </c>
      <c r="G30" s="46"/>
      <c r="H30" s="46"/>
      <c r="I30" s="46"/>
      <c r="J30" s="46"/>
      <c r="K30" s="46"/>
      <c r="L30" s="142" t="s">
        <v>28</v>
      </c>
      <c r="M30" s="152">
        <f>0.8062*D69</f>
        <v>2.6731398983476256</v>
      </c>
      <c r="N30" s="58"/>
      <c r="O30" s="58"/>
      <c r="P30" s="58"/>
      <c r="Q30" s="58"/>
      <c r="R30" s="58"/>
      <c r="S30" s="58"/>
      <c r="T30" s="58"/>
    </row>
    <row r="31" spans="2:20" ht="15" thickBot="1">
      <c r="B31" s="58"/>
      <c r="C31" s="17"/>
      <c r="D31" s="33"/>
      <c r="E31" s="33"/>
      <c r="F31" s="33"/>
      <c r="G31" s="33"/>
      <c r="H31" s="33"/>
      <c r="I31" s="33"/>
      <c r="J31" s="33"/>
      <c r="K31" s="33"/>
      <c r="L31" s="33"/>
      <c r="M31" s="30"/>
      <c r="N31" s="58"/>
      <c r="O31" s="58"/>
      <c r="P31" s="58"/>
      <c r="Q31" s="58"/>
      <c r="R31" s="58"/>
      <c r="S31" s="58"/>
      <c r="T31" s="58"/>
    </row>
    <row r="32" spans="2:20" ht="15" thickTop="1">
      <c r="B32" s="58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58"/>
      <c r="O32" s="58"/>
      <c r="P32" s="58"/>
      <c r="Q32" s="58"/>
      <c r="R32" s="58"/>
      <c r="S32" s="58"/>
      <c r="T32" s="58"/>
    </row>
    <row r="33" spans="2:20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</row>
    <row r="34" spans="2:20"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</row>
    <row r="35" spans="2:20"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</row>
    <row r="36" spans="2:20"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</row>
    <row r="37" spans="2:20"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</row>
    <row r="38" spans="2:20"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</row>
    <row r="39" spans="2:20"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</row>
    <row r="40" spans="2:20"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</row>
    <row r="41" spans="2:20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</row>
    <row r="42" spans="2:20"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</row>
    <row r="43" spans="2:20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</row>
    <row r="44" spans="2:20"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</row>
    <row r="67" spans="3:4" ht="15" thickBot="1"/>
    <row r="68" spans="3:4" ht="15" thickTop="1">
      <c r="C68" s="69" t="s">
        <v>98</v>
      </c>
      <c r="D68" s="70">
        <f>1000000000000/(2*PI()*F4*F5*1000000)</f>
        <v>2.1220659078919377</v>
      </c>
    </row>
    <row r="69" spans="3:4" ht="15" thickBot="1">
      <c r="C69" s="72" t="s">
        <v>99</v>
      </c>
      <c r="D69" s="73">
        <f>1000000*F4/(2*PI()*F5*1000000)</f>
        <v>3.3157279810811531</v>
      </c>
    </row>
    <row r="70" spans="3:4" ht="15" thickTop="1"/>
  </sheetData>
  <sheetProtection sheet="1" objects="1" scenarios="1"/>
  <pageMargins left="0.7" right="0.7" top="0.75" bottom="0.75" header="0.3" footer="0.3"/>
  <pageSetup orientation="portrait" horizontalDpi="4294967293" verticalDpi="0" r:id="rId1"/>
  <drawing r:id="rId2"/>
  <picture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C1:T74"/>
  <sheetViews>
    <sheetView showGridLines="0" topLeftCell="A7" workbookViewId="0">
      <selection activeCell="G67" sqref="G67"/>
    </sheetView>
  </sheetViews>
  <sheetFormatPr defaultRowHeight="14.4"/>
  <cols>
    <col min="1" max="1" width="1.6640625" customWidth="1"/>
    <col min="2" max="2" width="1.5546875" customWidth="1"/>
    <col min="5" max="5" width="15.109375" customWidth="1"/>
    <col min="7" max="7" width="14.88671875" customWidth="1"/>
    <col min="9" max="9" width="16.33203125" customWidth="1"/>
    <col min="11" max="11" width="15.109375" customWidth="1"/>
    <col min="13" max="13" width="13.5546875" customWidth="1"/>
    <col min="14" max="14" width="2.109375" customWidth="1"/>
    <col min="17" max="17" width="14.44140625" customWidth="1"/>
    <col min="18" max="18" width="1.88671875" customWidth="1"/>
    <col min="20" max="20" width="27.109375" customWidth="1"/>
  </cols>
  <sheetData>
    <row r="1" spans="3:20" ht="15" thickBot="1"/>
    <row r="2" spans="3:20" ht="18.600000000000001" thickTop="1">
      <c r="C2" s="1" t="s">
        <v>146</v>
      </c>
      <c r="S2" s="16" t="s">
        <v>211</v>
      </c>
      <c r="T2" s="9"/>
    </row>
    <row r="3" spans="3:20" ht="15" thickBot="1"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27" t="s">
        <v>228</v>
      </c>
      <c r="T3" s="28"/>
    </row>
    <row r="4" spans="3:20" ht="15" thickTop="1">
      <c r="C4" s="34" t="s">
        <v>76</v>
      </c>
      <c r="D4" s="35"/>
      <c r="E4" s="35"/>
      <c r="F4" s="124">
        <v>50</v>
      </c>
      <c r="G4" s="58"/>
      <c r="H4" s="58"/>
      <c r="I4" s="58"/>
      <c r="L4" s="58"/>
      <c r="M4" s="58"/>
      <c r="N4" s="58"/>
      <c r="O4" s="58"/>
      <c r="P4" s="58"/>
      <c r="Q4" s="58"/>
      <c r="R4" s="58"/>
      <c r="S4" s="27" t="s">
        <v>74</v>
      </c>
      <c r="T4" s="28"/>
    </row>
    <row r="5" spans="3:20" ht="15" thickBot="1">
      <c r="C5" s="36" t="s">
        <v>77</v>
      </c>
      <c r="D5" s="37"/>
      <c r="E5" s="37"/>
      <c r="F5" s="125">
        <v>20</v>
      </c>
      <c r="G5" s="58"/>
      <c r="H5" s="58"/>
      <c r="I5" s="58"/>
      <c r="L5" s="58"/>
      <c r="M5" s="58"/>
      <c r="N5" s="58"/>
      <c r="O5" s="58"/>
      <c r="P5" s="58"/>
      <c r="Q5" s="58"/>
      <c r="R5" s="58"/>
      <c r="S5" s="27" t="s">
        <v>209</v>
      </c>
      <c r="T5" s="28"/>
    </row>
    <row r="6" spans="3:20" ht="15.6" thickTop="1" thickBot="1"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29" t="s">
        <v>96</v>
      </c>
      <c r="T6" s="28"/>
    </row>
    <row r="7" spans="3:20" ht="15" thickTop="1">
      <c r="C7" s="16"/>
      <c r="D7" s="12" t="s">
        <v>143</v>
      </c>
      <c r="E7" s="14"/>
      <c r="F7" s="12" t="s">
        <v>80</v>
      </c>
      <c r="G7" s="14"/>
      <c r="H7" s="12" t="s">
        <v>79</v>
      </c>
      <c r="I7" s="13"/>
      <c r="J7" s="14" t="s">
        <v>81</v>
      </c>
      <c r="K7" s="13"/>
      <c r="L7" s="12" t="s">
        <v>82</v>
      </c>
      <c r="M7" s="108"/>
      <c r="N7" s="27"/>
      <c r="O7" s="26" t="s">
        <v>88</v>
      </c>
      <c r="P7" s="126"/>
      <c r="Q7" s="127"/>
      <c r="R7" s="46"/>
      <c r="S7" s="55" t="s">
        <v>166</v>
      </c>
      <c r="T7" s="28"/>
    </row>
    <row r="8" spans="3:20">
      <c r="C8" s="27"/>
      <c r="D8" s="80" t="s">
        <v>22</v>
      </c>
      <c r="E8" s="123">
        <f>1.0102^-1*E73</f>
        <v>0.39386988490372038</v>
      </c>
      <c r="F8" s="79" t="s">
        <v>22</v>
      </c>
      <c r="G8" s="153">
        <f>0.8775^-1*E73</f>
        <v>0.45343288630169609</v>
      </c>
      <c r="H8" s="79" t="s">
        <v>22</v>
      </c>
      <c r="I8" s="146">
        <f>1.076^-1*E73</f>
        <v>0.36978378971165271</v>
      </c>
      <c r="J8" s="79" t="s">
        <v>22</v>
      </c>
      <c r="K8" s="146">
        <f>0.8755^-1*E73</f>
        <v>0.45446871242688563</v>
      </c>
      <c r="L8" s="79" t="s">
        <v>22</v>
      </c>
      <c r="M8" s="153">
        <f>1.066^-1*E73</f>
        <v>0.37325268079712787</v>
      </c>
      <c r="N8" s="27"/>
      <c r="O8" s="38" t="s">
        <v>89</v>
      </c>
      <c r="P8" s="39" t="s">
        <v>90</v>
      </c>
      <c r="Q8" s="154">
        <f>1/(2*PI()*(E9*E10*0.000000000000000001)^0.5)/1000000</f>
        <v>3.310933403135738</v>
      </c>
      <c r="R8" s="46"/>
      <c r="S8" s="29" t="s">
        <v>102</v>
      </c>
      <c r="T8" s="28"/>
    </row>
    <row r="9" spans="3:20">
      <c r="C9" s="15" t="s">
        <v>39</v>
      </c>
      <c r="D9" s="86" t="s">
        <v>23</v>
      </c>
      <c r="E9" s="88">
        <f>1.1186^-1*E72</f>
        <v>142.28047835856904</v>
      </c>
      <c r="F9" s="86" t="s">
        <v>23</v>
      </c>
      <c r="G9" s="90">
        <f>1.349^-1*E72</f>
        <v>117.97994298880307</v>
      </c>
      <c r="H9" s="86" t="s">
        <v>23</v>
      </c>
      <c r="I9" s="88">
        <f>1.282^-1*E72</f>
        <v>124.14582144453615</v>
      </c>
      <c r="J9" s="86" t="s">
        <v>23</v>
      </c>
      <c r="K9" s="88">
        <f>1.29^-1*E72</f>
        <v>123.37592487743824</v>
      </c>
      <c r="L9" s="86" t="s">
        <v>23</v>
      </c>
      <c r="M9" s="90">
        <f>1.274^-1*E72</f>
        <v>124.92538704230405</v>
      </c>
      <c r="N9" s="27"/>
      <c r="O9" s="40"/>
      <c r="P9" s="41"/>
      <c r="Q9" s="155"/>
      <c r="R9" s="46"/>
      <c r="S9" s="29" t="s">
        <v>163</v>
      </c>
      <c r="T9" s="28"/>
    </row>
    <row r="10" spans="3:20">
      <c r="C10" s="15" t="s">
        <v>9</v>
      </c>
      <c r="D10" s="86" t="s">
        <v>3</v>
      </c>
      <c r="E10" s="88">
        <f>0.0245^-1*E73</f>
        <v>16.240300315499525</v>
      </c>
      <c r="F10" s="86" t="s">
        <v>3</v>
      </c>
      <c r="G10" s="85">
        <f>0.05363^-1*E73</f>
        <v>7.4191191073976945</v>
      </c>
      <c r="H10" s="86" t="s">
        <v>3</v>
      </c>
      <c r="I10" s="83">
        <f>0.08396^-1*E73</f>
        <v>4.7390109305590551</v>
      </c>
      <c r="J10" s="86" t="s">
        <v>3</v>
      </c>
      <c r="K10" s="83">
        <f>0.1717^-1*E73</f>
        <v>2.3173404643549116</v>
      </c>
      <c r="L10" s="86" t="s">
        <v>3</v>
      </c>
      <c r="M10" s="85">
        <f>0.1373^-1*E73</f>
        <v>2.8979414255625513</v>
      </c>
      <c r="N10" s="27"/>
      <c r="O10" s="38" t="s">
        <v>95</v>
      </c>
      <c r="P10" s="39" t="s">
        <v>90</v>
      </c>
      <c r="Q10" s="154">
        <f>1/(2*PI()*(G9*G10*0.000000000000000001)^0.5)/1000000</f>
        <v>5.3794746955441655</v>
      </c>
      <c r="R10" s="46"/>
      <c r="S10" s="29" t="s">
        <v>139</v>
      </c>
      <c r="T10" s="28"/>
    </row>
    <row r="11" spans="3:20">
      <c r="C11" s="15"/>
      <c r="D11" s="99" t="s">
        <v>24</v>
      </c>
      <c r="E11" s="105">
        <f>1.0102^-1*E73</f>
        <v>0.39386988490372038</v>
      </c>
      <c r="F11" s="91" t="s">
        <v>24</v>
      </c>
      <c r="G11" s="85">
        <f>1.4^-1*E73</f>
        <v>0.28420525552124165</v>
      </c>
      <c r="H11" s="91" t="s">
        <v>24</v>
      </c>
      <c r="I11" s="83">
        <f>1.767^-1*E73</f>
        <v>0.22517677290873703</v>
      </c>
      <c r="J11" s="91" t="s">
        <v>24</v>
      </c>
      <c r="K11" s="83">
        <f>1.453^-1*E73</f>
        <v>0.27383851185804425</v>
      </c>
      <c r="L11" s="91" t="s">
        <v>24</v>
      </c>
      <c r="M11" s="85">
        <f>1.553^-1*E73</f>
        <v>0.25620563923357265</v>
      </c>
      <c r="N11" s="27"/>
      <c r="O11" s="40"/>
      <c r="P11" s="41"/>
      <c r="Q11" s="156"/>
      <c r="R11" s="27"/>
      <c r="S11" s="27" t="s">
        <v>176</v>
      </c>
      <c r="T11" s="6"/>
    </row>
    <row r="12" spans="3:20">
      <c r="C12" s="15"/>
      <c r="D12" s="46"/>
      <c r="E12" s="46"/>
      <c r="F12" s="131" t="s">
        <v>25</v>
      </c>
      <c r="G12" s="132">
        <f>0.9292^-1*E72</f>
        <v>171.28168649579783</v>
      </c>
      <c r="H12" s="91" t="s">
        <v>25</v>
      </c>
      <c r="I12" s="88">
        <f>1.112^-1*E72</f>
        <v>143.12494882364689</v>
      </c>
      <c r="J12" s="91" t="s">
        <v>25</v>
      </c>
      <c r="K12" s="88">
        <f>1.304^-1*E72</f>
        <v>122.05133672691362</v>
      </c>
      <c r="L12" s="91" t="s">
        <v>25</v>
      </c>
      <c r="M12" s="90">
        <f>0.9117^-1*E72</f>
        <v>174.56942315662539</v>
      </c>
      <c r="N12" s="27"/>
      <c r="O12" s="38" t="s">
        <v>91</v>
      </c>
      <c r="P12" s="39" t="s">
        <v>90</v>
      </c>
      <c r="Q12" s="154">
        <f>1/(2*PI()*(I9*I10*0.000000000000000001)^0.5)/1000000</f>
        <v>6.5616071202107191</v>
      </c>
      <c r="R12" s="46"/>
      <c r="S12" s="27" t="s">
        <v>191</v>
      </c>
      <c r="T12" s="6"/>
    </row>
    <row r="13" spans="3:20">
      <c r="C13" s="15"/>
      <c r="D13" s="46"/>
      <c r="E13" s="46"/>
      <c r="F13" s="133" t="s">
        <v>7</v>
      </c>
      <c r="G13" s="134" t="s">
        <v>86</v>
      </c>
      <c r="H13" s="80" t="s">
        <v>7</v>
      </c>
      <c r="I13" s="123">
        <f>0.2317^-1*E73</f>
        <v>1.7172522992220038</v>
      </c>
      <c r="J13" s="80" t="s">
        <v>7</v>
      </c>
      <c r="K13" s="83">
        <f>0.3042^-1*E73</f>
        <v>1.307979479716431</v>
      </c>
      <c r="L13" s="86" t="s">
        <v>7</v>
      </c>
      <c r="M13" s="85">
        <f>0.6789^-1*E73</f>
        <v>0.58607653222821976</v>
      </c>
      <c r="N13" s="27"/>
      <c r="O13" s="38"/>
      <c r="P13" s="39" t="s">
        <v>92</v>
      </c>
      <c r="Q13" s="154">
        <f>1/(2*PI()*(I12*I13*0.000000000000000001)^0.5)/1000000</f>
        <v>10.151855002904643</v>
      </c>
      <c r="R13" s="46"/>
      <c r="S13" s="27" t="s">
        <v>207</v>
      </c>
      <c r="T13" s="28"/>
    </row>
    <row r="14" spans="3:20">
      <c r="C14" s="15"/>
      <c r="D14" s="46"/>
      <c r="E14" s="46"/>
      <c r="F14" s="46"/>
      <c r="G14" s="46"/>
      <c r="H14" s="95" t="s">
        <v>26</v>
      </c>
      <c r="I14" s="96">
        <f>0.9509^-1*E73</f>
        <v>0.41843238797953342</v>
      </c>
      <c r="J14" s="131" t="s">
        <v>26</v>
      </c>
      <c r="K14" s="157">
        <f>1.297^-1*E73</f>
        <v>0.3067751408864598</v>
      </c>
      <c r="L14" s="91" t="s">
        <v>26</v>
      </c>
      <c r="M14" s="85">
        <f>1.375^-1*E73</f>
        <v>0.28937262380344608</v>
      </c>
      <c r="N14" s="27"/>
      <c r="O14" s="38"/>
      <c r="P14" s="39"/>
      <c r="Q14" s="154"/>
      <c r="R14" s="46"/>
      <c r="S14" s="27" t="s">
        <v>205</v>
      </c>
      <c r="T14" s="28"/>
    </row>
    <row r="15" spans="3:20" ht="15" thickBot="1">
      <c r="C15" s="15"/>
      <c r="D15" s="46"/>
      <c r="E15" s="46"/>
      <c r="F15" s="46"/>
      <c r="G15" s="46"/>
      <c r="H15" s="46"/>
      <c r="I15" s="46"/>
      <c r="J15" s="137" t="s">
        <v>27</v>
      </c>
      <c r="K15" s="158">
        <f>1.031^-1*E72</f>
        <v>154.36948893491305</v>
      </c>
      <c r="L15" s="86" t="s">
        <v>27</v>
      </c>
      <c r="M15" s="90">
        <f>0.9406^-1*E72</f>
        <v>169.20576556654834</v>
      </c>
      <c r="N15" s="27"/>
      <c r="O15" s="42" t="s">
        <v>93</v>
      </c>
      <c r="P15" s="43" t="s">
        <v>90</v>
      </c>
      <c r="Q15" s="159">
        <f>1/(2*PI()*(K9*K10*0.000000000000000001)^0.5)/1000000</f>
        <v>9.4126085651109488</v>
      </c>
      <c r="R15" s="46"/>
      <c r="S15" s="17" t="s">
        <v>225</v>
      </c>
      <c r="T15" s="25"/>
    </row>
    <row r="16" spans="3:20" ht="15" thickTop="1">
      <c r="C16" s="15"/>
      <c r="D16" s="46"/>
      <c r="E16" s="46"/>
      <c r="F16" s="46"/>
      <c r="G16" s="46"/>
      <c r="H16" s="46"/>
      <c r="I16" s="46"/>
      <c r="J16" s="140" t="s">
        <v>10</v>
      </c>
      <c r="K16" s="134" t="s">
        <v>86</v>
      </c>
      <c r="L16" s="131" t="s">
        <v>10</v>
      </c>
      <c r="M16" s="160">
        <f>0.4914^-1*E73</f>
        <v>0.8097015826816002</v>
      </c>
      <c r="N16" s="27"/>
      <c r="O16" s="38"/>
      <c r="P16" s="39" t="s">
        <v>92</v>
      </c>
      <c r="Q16" s="154">
        <f>1/(2*PI()*(K12*K13*0.000000000000000001)^0.5)/1000000</f>
        <v>12.596456644628281</v>
      </c>
      <c r="R16" s="46"/>
      <c r="S16" s="58"/>
    </row>
    <row r="17" spans="3:19">
      <c r="C17" s="15"/>
      <c r="D17" s="46"/>
      <c r="E17" s="46"/>
      <c r="F17" s="46" t="s">
        <v>44</v>
      </c>
      <c r="G17" s="46"/>
      <c r="H17" s="46"/>
      <c r="I17" s="46"/>
      <c r="J17" s="46"/>
      <c r="K17" s="46"/>
      <c r="L17" s="142" t="s">
        <v>28</v>
      </c>
      <c r="M17" s="152">
        <f>0.8062^-1*E73</f>
        <v>0.49353430628843747</v>
      </c>
      <c r="N17" s="46"/>
      <c r="O17" s="38"/>
      <c r="P17" s="39"/>
      <c r="Q17" s="154"/>
      <c r="R17" s="46"/>
      <c r="S17" s="58"/>
    </row>
    <row r="18" spans="3:19" ht="15" thickBot="1">
      <c r="C18" s="144"/>
      <c r="D18" s="33"/>
      <c r="E18" s="33"/>
      <c r="F18" s="33"/>
      <c r="G18" s="33"/>
      <c r="H18" s="33"/>
      <c r="I18" s="33"/>
      <c r="J18" s="33"/>
      <c r="K18" s="33"/>
      <c r="L18" s="33"/>
      <c r="M18" s="30"/>
      <c r="N18" s="46"/>
      <c r="O18" s="42" t="s">
        <v>101</v>
      </c>
      <c r="P18" s="43"/>
      <c r="Q18" s="159">
        <f>1/(2*PI()*(M9*M10*0.000000000000000001)^0.5)/1000000</f>
        <v>8.3646924629659889</v>
      </c>
      <c r="R18" s="46"/>
      <c r="S18" s="58"/>
    </row>
    <row r="19" spans="3:19" ht="15.6" thickTop="1" thickBot="1">
      <c r="C19" s="48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38"/>
      <c r="P19" s="39" t="s">
        <v>92</v>
      </c>
      <c r="Q19" s="154">
        <f>1/(2*PI()*(M12*M13*0.000000000000000001)^0.5)/1000000</f>
        <v>15.734714868722593</v>
      </c>
      <c r="R19" s="46"/>
      <c r="S19" s="58"/>
    </row>
    <row r="20" spans="3:19" ht="15.6" thickTop="1" thickBot="1">
      <c r="C20" s="118"/>
      <c r="D20" s="12" t="s">
        <v>144</v>
      </c>
      <c r="E20" s="14"/>
      <c r="F20" s="12" t="s">
        <v>80</v>
      </c>
      <c r="G20" s="13"/>
      <c r="H20" s="14" t="s">
        <v>79</v>
      </c>
      <c r="I20" s="14"/>
      <c r="J20" s="12" t="s">
        <v>34</v>
      </c>
      <c r="K20" s="14"/>
      <c r="L20" s="12" t="s">
        <v>69</v>
      </c>
      <c r="M20" s="108"/>
      <c r="N20" s="46"/>
      <c r="O20" s="44"/>
      <c r="P20" s="45" t="s">
        <v>94</v>
      </c>
      <c r="Q20" s="161">
        <f>1/(2*PI()*(M15*M16*0.000000000000000001)^0.5)/1000000</f>
        <v>13.597217950742715</v>
      </c>
      <c r="R20" s="46"/>
      <c r="S20" s="58"/>
    </row>
    <row r="21" spans="3:19" ht="15" thickTop="1">
      <c r="C21" s="15"/>
      <c r="D21" s="79" t="s">
        <v>2</v>
      </c>
      <c r="E21" s="146">
        <f>1.0102^-1*E72</f>
        <v>157.54795396148819</v>
      </c>
      <c r="F21" s="79" t="s">
        <v>2</v>
      </c>
      <c r="G21" s="146">
        <f>0.8775^-1*E72</f>
        <v>181.37315452067847</v>
      </c>
      <c r="H21" s="80" t="s">
        <v>2</v>
      </c>
      <c r="I21" s="81">
        <f>1.076^-1*E72</f>
        <v>147.91351588466111</v>
      </c>
      <c r="J21" s="80" t="s">
        <v>2</v>
      </c>
      <c r="K21" s="81">
        <f>0.8755^-1*E72</f>
        <v>181.78748497075426</v>
      </c>
      <c r="L21" s="80" t="s">
        <v>2</v>
      </c>
      <c r="M21" s="114">
        <f>1.066^-1*E72</f>
        <v>149.30107231885117</v>
      </c>
      <c r="N21" s="46"/>
      <c r="O21" s="46"/>
      <c r="P21" s="46"/>
      <c r="Q21" s="46"/>
      <c r="R21" s="46"/>
      <c r="S21" s="58"/>
    </row>
    <row r="22" spans="3:19">
      <c r="C22" s="15" t="s">
        <v>40</v>
      </c>
      <c r="D22" s="86" t="s">
        <v>3</v>
      </c>
      <c r="E22" s="88">
        <f>1.1186^-1*E73</f>
        <v>0.35570119589642257</v>
      </c>
      <c r="F22" s="86" t="s">
        <v>3</v>
      </c>
      <c r="G22" s="88">
        <f>1.349^-1*E73</f>
        <v>0.29494985747200764</v>
      </c>
      <c r="H22" s="86" t="s">
        <v>3</v>
      </c>
      <c r="I22" s="85">
        <f>1.282^-1*E73</f>
        <v>0.31036455361134035</v>
      </c>
      <c r="J22" s="86" t="s">
        <v>3</v>
      </c>
      <c r="K22" s="85">
        <f>1.29^-1*E73</f>
        <v>0.30843981219359556</v>
      </c>
      <c r="L22" s="86" t="s">
        <v>3</v>
      </c>
      <c r="M22" s="87">
        <f>1.274^-1*E73</f>
        <v>0.31231346760576006</v>
      </c>
      <c r="N22" s="46"/>
      <c r="O22" s="46"/>
      <c r="P22" s="48"/>
      <c r="Q22" s="46"/>
      <c r="R22" s="46"/>
      <c r="S22" s="58"/>
    </row>
    <row r="23" spans="3:19">
      <c r="C23" s="15"/>
      <c r="D23" s="86" t="s">
        <v>23</v>
      </c>
      <c r="E23" s="83">
        <f>0.0245^-1*E72</f>
        <v>6496.1201261998103</v>
      </c>
      <c r="F23" s="86" t="s">
        <v>23</v>
      </c>
      <c r="G23" s="83">
        <f>0.05363^-1*E72</f>
        <v>2967.6476429590784</v>
      </c>
      <c r="H23" s="86" t="s">
        <v>23</v>
      </c>
      <c r="I23" s="90">
        <f>0.08396^-1*E72</f>
        <v>1895.6043722236222</v>
      </c>
      <c r="J23" s="86" t="s">
        <v>23</v>
      </c>
      <c r="K23" s="90">
        <f>0.1717^-1*E72</f>
        <v>926.93618574196478</v>
      </c>
      <c r="L23" s="86" t="s">
        <v>23</v>
      </c>
      <c r="M23" s="92">
        <f>0.1373^-1*E72</f>
        <v>1159.1765702250207</v>
      </c>
      <c r="N23" s="46"/>
      <c r="O23" s="46"/>
      <c r="P23" s="48"/>
      <c r="Q23" s="46"/>
      <c r="R23" s="46"/>
      <c r="S23" s="58"/>
    </row>
    <row r="24" spans="3:19">
      <c r="C24" s="27"/>
      <c r="D24" s="97" t="s">
        <v>4</v>
      </c>
      <c r="E24" s="98">
        <f>E21</f>
        <v>157.54795396148819</v>
      </c>
      <c r="F24" s="86" t="s">
        <v>4</v>
      </c>
      <c r="G24" s="83">
        <f>1.4^-1*E72</f>
        <v>113.68210220849667</v>
      </c>
      <c r="H24" s="86" t="s">
        <v>4</v>
      </c>
      <c r="I24" s="90">
        <f>1.767^-1*E72</f>
        <v>90.070709163494826</v>
      </c>
      <c r="J24" s="86" t="s">
        <v>4</v>
      </c>
      <c r="K24" s="90">
        <f>1.453^-1*E72</f>
        <v>109.53540474321771</v>
      </c>
      <c r="L24" s="86" t="s">
        <v>4</v>
      </c>
      <c r="M24" s="92">
        <f>1.553^-1*E72</f>
        <v>102.48225569342908</v>
      </c>
      <c r="N24" s="46"/>
      <c r="O24" s="46"/>
      <c r="P24" s="48"/>
      <c r="Q24" s="46"/>
      <c r="R24" s="46"/>
      <c r="S24" s="58"/>
    </row>
    <row r="25" spans="3:19">
      <c r="C25" s="27"/>
      <c r="D25" s="46"/>
      <c r="E25" s="46"/>
      <c r="F25" s="147" t="s">
        <v>7</v>
      </c>
      <c r="G25" s="132">
        <f>0.9292^-1*E73</f>
        <v>0.42820421623949451</v>
      </c>
      <c r="H25" s="86" t="s">
        <v>7</v>
      </c>
      <c r="I25" s="85">
        <f>1.112^-1*E73</f>
        <v>0.3578123720591172</v>
      </c>
      <c r="J25" s="86" t="s">
        <v>7</v>
      </c>
      <c r="K25" s="85">
        <f>1.304^-1*E73</f>
        <v>0.30512834181728399</v>
      </c>
      <c r="L25" s="86" t="s">
        <v>7</v>
      </c>
      <c r="M25" s="87">
        <f>0.9117^-1*E73</f>
        <v>0.4364235578915634</v>
      </c>
      <c r="N25" s="58"/>
      <c r="O25" s="58"/>
      <c r="P25" s="48"/>
      <c r="Q25" s="58"/>
      <c r="R25" s="58"/>
      <c r="S25" s="58"/>
    </row>
    <row r="26" spans="3:19">
      <c r="C26" s="27"/>
      <c r="D26" s="46"/>
      <c r="E26" s="46"/>
      <c r="F26" s="148" t="s">
        <v>25</v>
      </c>
      <c r="G26" s="149" t="s">
        <v>87</v>
      </c>
      <c r="H26" s="86" t="s">
        <v>25</v>
      </c>
      <c r="I26" s="90">
        <f>0.2317^-1*E72</f>
        <v>686.90091968880165</v>
      </c>
      <c r="J26" s="86" t="s">
        <v>25</v>
      </c>
      <c r="K26" s="90">
        <f>0.3402^-1*E72</f>
        <v>467.8275811049246</v>
      </c>
      <c r="L26" s="86" t="s">
        <v>25</v>
      </c>
      <c r="M26" s="92">
        <f>0.6789^-1*E72</f>
        <v>234.43061289128792</v>
      </c>
      <c r="N26" s="58"/>
      <c r="O26" s="58"/>
      <c r="P26" s="48"/>
      <c r="Q26" s="58"/>
      <c r="R26" s="58"/>
      <c r="S26" s="58"/>
    </row>
    <row r="27" spans="3:19">
      <c r="C27" s="27"/>
      <c r="D27" s="46"/>
      <c r="E27" s="46"/>
      <c r="F27" s="46"/>
      <c r="G27" s="46"/>
      <c r="H27" s="97" t="s">
        <v>8</v>
      </c>
      <c r="I27" s="110">
        <f>0.9509^-1*E72</f>
        <v>167.37295519181339</v>
      </c>
      <c r="J27" s="86" t="s">
        <v>8</v>
      </c>
      <c r="K27" s="90">
        <f>1.297^-1*E72</f>
        <v>122.71005635458393</v>
      </c>
      <c r="L27" s="86" t="s">
        <v>8</v>
      </c>
      <c r="M27" s="92">
        <f>1.375^-1*E72</f>
        <v>115.74904952137844</v>
      </c>
      <c r="N27" s="58"/>
      <c r="O27" s="58"/>
      <c r="P27" s="58"/>
      <c r="Q27" s="58"/>
      <c r="R27" s="58"/>
      <c r="S27" s="58"/>
    </row>
    <row r="28" spans="3:19">
      <c r="C28" s="27"/>
      <c r="D28" s="46"/>
      <c r="E28" s="58"/>
      <c r="F28" s="58"/>
      <c r="G28" s="46"/>
      <c r="H28" s="46"/>
      <c r="I28" s="46"/>
      <c r="J28" s="80" t="s">
        <v>10</v>
      </c>
      <c r="K28" s="106">
        <f>1.031^-1*E73</f>
        <v>0.38592372233728262</v>
      </c>
      <c r="L28" s="86" t="s">
        <v>10</v>
      </c>
      <c r="M28" s="87">
        <f>0.9406^-1*E73</f>
        <v>0.42301441391637079</v>
      </c>
      <c r="N28" s="58"/>
      <c r="O28" s="58"/>
      <c r="P28" s="58"/>
      <c r="Q28" s="58"/>
      <c r="R28" s="58"/>
      <c r="S28" s="58"/>
    </row>
    <row r="29" spans="3:19">
      <c r="C29" s="27"/>
      <c r="D29" s="46"/>
      <c r="E29" s="46"/>
      <c r="F29" s="46"/>
      <c r="G29" s="46"/>
      <c r="H29" s="46"/>
      <c r="I29" s="46"/>
      <c r="J29" s="150" t="s">
        <v>27</v>
      </c>
      <c r="K29" s="151" t="s">
        <v>87</v>
      </c>
      <c r="L29" s="80" t="s">
        <v>27</v>
      </c>
      <c r="M29" s="114">
        <f>0.4914^-1*E72</f>
        <v>323.88063307264014</v>
      </c>
      <c r="N29" s="58"/>
      <c r="O29" s="58"/>
      <c r="P29" s="58"/>
      <c r="Q29" s="58"/>
      <c r="R29" s="58"/>
      <c r="S29" s="58"/>
    </row>
    <row r="30" spans="3:19">
      <c r="C30" s="27"/>
      <c r="D30" s="46"/>
      <c r="E30" s="46"/>
      <c r="F30" s="111" t="s">
        <v>83</v>
      </c>
      <c r="G30" s="46"/>
      <c r="H30" s="46"/>
      <c r="I30" s="46"/>
      <c r="J30" s="46"/>
      <c r="K30" s="46"/>
      <c r="L30" s="142" t="s">
        <v>11</v>
      </c>
      <c r="M30" s="143">
        <f>0.8062^-1*E72</f>
        <v>197.41372251537501</v>
      </c>
      <c r="N30" s="58"/>
      <c r="O30" s="58"/>
      <c r="P30" s="58"/>
      <c r="Q30" s="58"/>
      <c r="R30" s="58"/>
      <c r="S30" s="58"/>
    </row>
    <row r="31" spans="3:19" ht="15" thickBot="1">
      <c r="C31" s="17"/>
      <c r="D31" s="33"/>
      <c r="E31" s="33"/>
      <c r="F31" s="33"/>
      <c r="G31" s="33"/>
      <c r="H31" s="33"/>
      <c r="I31" s="33"/>
      <c r="J31" s="33"/>
      <c r="K31" s="33"/>
      <c r="L31" s="33"/>
      <c r="M31" s="30"/>
      <c r="N31" s="58"/>
      <c r="O31" s="58"/>
      <c r="P31" s="58"/>
      <c r="Q31" s="58"/>
      <c r="R31" s="58"/>
      <c r="S31" s="58"/>
    </row>
    <row r="32" spans="3:19" ht="15" thickTop="1"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58"/>
      <c r="O32" s="58"/>
      <c r="P32" s="58"/>
      <c r="Q32" s="58"/>
      <c r="R32" s="58"/>
      <c r="S32" s="58"/>
    </row>
    <row r="33" spans="3:19"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</row>
    <row r="71" spans="4:5" ht="15" thickBot="1"/>
    <row r="72" spans="4:5" ht="15" thickTop="1">
      <c r="D72" s="69" t="s">
        <v>98</v>
      </c>
      <c r="E72" s="70">
        <f>1000000000000/(2*PI()*F4*F5*1000000)</f>
        <v>159.15494309189535</v>
      </c>
    </row>
    <row r="73" spans="4:5" ht="15" thickBot="1">
      <c r="D73" s="72" t="s">
        <v>99</v>
      </c>
      <c r="E73" s="73">
        <f>1000000*F4/(2*PI()*F5*1000000)</f>
        <v>0.39788735772973832</v>
      </c>
    </row>
    <row r="74" spans="4:5" ht="15" thickTop="1"/>
  </sheetData>
  <sheetProtection sheet="1" objects="1" scenarios="1"/>
  <pageMargins left="0.7" right="0.7" top="0.75" bottom="0.75" header="0.3" footer="0.3"/>
  <drawing r:id="rId1"/>
  <picture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B1:S78"/>
  <sheetViews>
    <sheetView showGridLines="0" workbookViewId="0">
      <selection activeCell="G67" sqref="G67"/>
    </sheetView>
  </sheetViews>
  <sheetFormatPr defaultRowHeight="14.4"/>
  <cols>
    <col min="1" max="1" width="2.33203125" customWidth="1"/>
    <col min="4" max="4" width="13.6640625" customWidth="1"/>
    <col min="6" max="6" width="11.88671875" customWidth="1"/>
    <col min="8" max="8" width="11.6640625" customWidth="1"/>
    <col min="10" max="10" width="12.109375" customWidth="1"/>
    <col min="12" max="12" width="12.5546875" customWidth="1"/>
    <col min="14" max="14" width="12.88671875" customWidth="1"/>
    <col min="16" max="16" width="13.88671875" customWidth="1"/>
    <col min="17" max="17" width="3" customWidth="1"/>
    <col min="19" max="19" width="26.5546875" customWidth="1"/>
  </cols>
  <sheetData>
    <row r="1" spans="2:19" ht="15" thickBot="1"/>
    <row r="2" spans="2:19" ht="18.600000000000001" thickTop="1">
      <c r="B2" s="58"/>
      <c r="C2" s="1" t="s">
        <v>142</v>
      </c>
      <c r="D2" s="58"/>
      <c r="E2" s="58"/>
      <c r="F2" s="1" t="s">
        <v>103</v>
      </c>
      <c r="G2" s="58"/>
      <c r="H2" s="58"/>
      <c r="I2" s="58"/>
      <c r="J2" s="58"/>
      <c r="K2" s="58"/>
      <c r="L2" s="58"/>
      <c r="M2" s="46"/>
      <c r="N2" s="46"/>
      <c r="O2" s="58"/>
      <c r="P2" s="58"/>
      <c r="Q2" s="58"/>
      <c r="R2" s="16" t="s">
        <v>219</v>
      </c>
      <c r="S2" s="9"/>
    </row>
    <row r="3" spans="2:19" ht="15" thickBot="1">
      <c r="B3" s="58"/>
      <c r="C3" s="58"/>
      <c r="D3" s="58"/>
      <c r="E3" s="58"/>
      <c r="F3" s="58"/>
      <c r="G3" s="58"/>
      <c r="H3" s="58"/>
      <c r="I3" s="58"/>
      <c r="L3" s="58"/>
      <c r="M3" s="46"/>
      <c r="N3" s="46"/>
      <c r="O3" s="58"/>
      <c r="P3" s="58"/>
      <c r="Q3" s="58"/>
      <c r="R3" s="27" t="s">
        <v>229</v>
      </c>
      <c r="S3" s="28"/>
    </row>
    <row r="4" spans="2:19" ht="15" thickTop="1">
      <c r="B4" s="16" t="s">
        <v>13</v>
      </c>
      <c r="C4" s="14"/>
      <c r="D4" s="14"/>
      <c r="E4" s="120">
        <v>50</v>
      </c>
      <c r="F4" s="58"/>
      <c r="G4" s="58"/>
      <c r="H4" s="58"/>
      <c r="I4" s="58"/>
      <c r="L4" s="58"/>
      <c r="M4" s="46"/>
      <c r="N4" s="46"/>
      <c r="O4" s="58"/>
      <c r="P4" s="58"/>
      <c r="Q4" s="58"/>
      <c r="R4" s="27" t="s">
        <v>74</v>
      </c>
      <c r="S4" s="28"/>
    </row>
    <row r="5" spans="2:19">
      <c r="B5" s="27"/>
      <c r="C5" s="46"/>
      <c r="D5" s="46"/>
      <c r="E5" s="28"/>
      <c r="F5" s="58"/>
      <c r="G5" s="58"/>
      <c r="H5" s="58"/>
      <c r="I5" s="58"/>
      <c r="J5" s="58"/>
      <c r="K5" s="58"/>
      <c r="L5" s="58"/>
      <c r="M5" s="47"/>
      <c r="N5" s="46"/>
      <c r="O5" s="58"/>
      <c r="P5" s="58"/>
      <c r="Q5" s="58"/>
      <c r="R5" s="27" t="s">
        <v>202</v>
      </c>
      <c r="S5" s="28"/>
    </row>
    <row r="6" spans="2:19" ht="15" thickBot="1">
      <c r="B6" s="17" t="s">
        <v>14</v>
      </c>
      <c r="C6" s="33"/>
      <c r="D6" s="33"/>
      <c r="E6" s="121">
        <v>6</v>
      </c>
      <c r="F6" s="58"/>
      <c r="G6" s="58"/>
      <c r="H6" s="58"/>
      <c r="I6" s="58"/>
      <c r="J6" s="58"/>
      <c r="K6" s="58"/>
      <c r="L6" s="58"/>
      <c r="M6" s="47"/>
      <c r="N6" s="46"/>
      <c r="O6" s="58"/>
      <c r="P6" s="58"/>
      <c r="Q6" s="58"/>
      <c r="R6" s="29" t="s">
        <v>96</v>
      </c>
      <c r="S6" s="28"/>
    </row>
    <row r="7" spans="2:19" ht="15" thickTop="1">
      <c r="B7" s="46"/>
      <c r="C7" s="46"/>
      <c r="D7" s="46"/>
      <c r="E7" s="122"/>
      <c r="F7" s="58"/>
      <c r="G7" s="58"/>
      <c r="H7" s="58"/>
      <c r="I7" s="58"/>
      <c r="J7" s="58"/>
      <c r="K7" s="58"/>
      <c r="L7" s="58"/>
      <c r="M7" s="47"/>
      <c r="N7" s="46"/>
      <c r="O7" s="58"/>
      <c r="P7" s="58"/>
      <c r="Q7" s="58"/>
      <c r="R7" s="29" t="s">
        <v>97</v>
      </c>
      <c r="S7" s="28"/>
    </row>
    <row r="8" spans="2:19" ht="15" thickBot="1"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33"/>
      <c r="N8" s="33"/>
      <c r="O8" s="58"/>
      <c r="P8" s="58"/>
      <c r="Q8" s="58"/>
      <c r="R8" s="55" t="s">
        <v>167</v>
      </c>
      <c r="S8" s="28"/>
    </row>
    <row r="9" spans="2:19" ht="15" thickTop="1">
      <c r="B9" s="16"/>
      <c r="C9" s="12" t="s">
        <v>15</v>
      </c>
      <c r="D9" s="13"/>
      <c r="E9" s="14" t="s">
        <v>16</v>
      </c>
      <c r="F9" s="14"/>
      <c r="G9" s="12" t="s">
        <v>17</v>
      </c>
      <c r="H9" s="14"/>
      <c r="I9" s="12" t="s">
        <v>18</v>
      </c>
      <c r="J9" s="14"/>
      <c r="K9" s="12" t="s">
        <v>19</v>
      </c>
      <c r="L9" s="13"/>
      <c r="M9" s="46" t="s">
        <v>20</v>
      </c>
      <c r="N9" s="46"/>
      <c r="O9" s="12" t="s">
        <v>21</v>
      </c>
      <c r="P9" s="108"/>
      <c r="Q9" s="58"/>
      <c r="R9" s="29" t="s">
        <v>163</v>
      </c>
      <c r="S9" s="28"/>
    </row>
    <row r="10" spans="2:19">
      <c r="B10" s="15" t="s">
        <v>0</v>
      </c>
      <c r="C10" s="80" t="s">
        <v>2</v>
      </c>
      <c r="D10" s="81">
        <f>0.4328*D76</f>
        <v>229.60753123390771</v>
      </c>
      <c r="E10" s="80" t="s">
        <v>2</v>
      </c>
      <c r="F10" s="81">
        <f>0.3363*D76</f>
        <v>178.41269120601467</v>
      </c>
      <c r="G10" s="80" t="s">
        <v>2</v>
      </c>
      <c r="H10" s="81">
        <f>0.2751*D76</f>
        <v>145.94508281526805</v>
      </c>
      <c r="I10" s="80" t="s">
        <v>2</v>
      </c>
      <c r="J10" s="81">
        <f>0.2374*D76</f>
        <v>125.94461163338651</v>
      </c>
      <c r="K10" s="80" t="s">
        <v>2</v>
      </c>
      <c r="L10" s="81">
        <f>0.2085*D76</f>
        <v>110.61268544886727</v>
      </c>
      <c r="M10" s="80" t="s">
        <v>2</v>
      </c>
      <c r="N10" s="81">
        <f>0.1891*D76</f>
        <v>100.32066579559137</v>
      </c>
      <c r="O10" s="80" t="s">
        <v>2</v>
      </c>
      <c r="P10" s="114">
        <f>0.1718*D76</f>
        <v>91.142730743958737</v>
      </c>
      <c r="Q10" s="58"/>
      <c r="R10" s="29" t="s">
        <v>139</v>
      </c>
      <c r="S10" s="28"/>
    </row>
    <row r="11" spans="2:19">
      <c r="B11" s="15" t="s">
        <v>9</v>
      </c>
      <c r="C11" s="86" t="s">
        <v>3</v>
      </c>
      <c r="D11" s="83">
        <f>1.0427*D77</f>
        <v>1.3829238263493273</v>
      </c>
      <c r="E11" s="86" t="s">
        <v>3</v>
      </c>
      <c r="F11" s="83">
        <f>0.7963*D77</f>
        <v>1.0561256765339688</v>
      </c>
      <c r="G11" s="86" t="s">
        <v>3</v>
      </c>
      <c r="H11" s="83">
        <f>0.6541*D77</f>
        <v>0.86752706897007292</v>
      </c>
      <c r="I11" s="86" t="s">
        <v>3</v>
      </c>
      <c r="J11" s="83">
        <f>0.5662*D77</f>
        <v>0.75094607315525952</v>
      </c>
      <c r="K11" s="86" t="s">
        <v>3</v>
      </c>
      <c r="L11" s="83">
        <f>0.4999*D77</f>
        <v>0.66301296709698732</v>
      </c>
      <c r="M11" s="86" t="s">
        <v>3</v>
      </c>
      <c r="N11" s="83">
        <f>0.4543*D77</f>
        <v>0.60253408872206704</v>
      </c>
      <c r="O11" s="86" t="s">
        <v>3</v>
      </c>
      <c r="P11" s="87">
        <f>0.4146*D77</f>
        <v>0.54988032838249845</v>
      </c>
      <c r="Q11" s="58"/>
      <c r="R11" s="27" t="s">
        <v>176</v>
      </c>
      <c r="S11" s="6"/>
    </row>
    <row r="12" spans="2:19">
      <c r="B12" s="15"/>
      <c r="C12" s="97" t="s">
        <v>4</v>
      </c>
      <c r="D12" s="110">
        <f>2.2542*D76</f>
        <v>1195.8902423925017</v>
      </c>
      <c r="E12" s="86" t="s">
        <v>4</v>
      </c>
      <c r="F12" s="88">
        <f>1.1428*D76</f>
        <v>606.27422988472665</v>
      </c>
      <c r="G12" s="86" t="s">
        <v>4</v>
      </c>
      <c r="H12" s="88">
        <f>0.8892*D76</f>
        <v>471.73525132437783</v>
      </c>
      <c r="I12" s="86" t="s">
        <v>4</v>
      </c>
      <c r="J12" s="88">
        <f>0.7578*D76</f>
        <v>402.02538625012767</v>
      </c>
      <c r="K12" s="86" t="s">
        <v>4</v>
      </c>
      <c r="L12" s="88">
        <f>0.6653*D76</f>
        <v>352.95261213012657</v>
      </c>
      <c r="M12" s="86" t="s">
        <v>4</v>
      </c>
      <c r="N12" s="88">
        <f>0.6031*D76</f>
        <v>319.95448726240693</v>
      </c>
      <c r="O12" s="86" t="s">
        <v>4</v>
      </c>
      <c r="P12" s="92">
        <f>0.5498*D76</f>
        <v>291.67795903974684</v>
      </c>
      <c r="Q12" s="58"/>
      <c r="R12" s="27" t="s">
        <v>191</v>
      </c>
      <c r="S12" s="6"/>
    </row>
    <row r="13" spans="2:19">
      <c r="B13" s="27"/>
      <c r="C13" s="48"/>
      <c r="D13" s="48"/>
      <c r="E13" s="97" t="s">
        <v>7</v>
      </c>
      <c r="F13" s="98">
        <f>2.2459*D77</f>
        <v>2.9787173890840641</v>
      </c>
      <c r="G13" s="86" t="s">
        <v>7</v>
      </c>
      <c r="H13" s="83">
        <f>1.1034*D77</f>
        <v>1.4634297017299776</v>
      </c>
      <c r="I13" s="86" t="s">
        <v>7</v>
      </c>
      <c r="J13" s="83">
        <f>0.876*D77</f>
        <v>1.1618310845708359</v>
      </c>
      <c r="K13" s="86" t="s">
        <v>7</v>
      </c>
      <c r="L13" s="83">
        <f>0.7521*D77</f>
        <v>0.9975036058284541</v>
      </c>
      <c r="M13" s="86" t="s">
        <v>7</v>
      </c>
      <c r="N13" s="83">
        <f>0.675*D77</f>
        <v>0.89524655489191141</v>
      </c>
      <c r="O13" s="86" t="s">
        <v>7</v>
      </c>
      <c r="P13" s="87">
        <f>0.6132*D77</f>
        <v>0.81328175919958512</v>
      </c>
      <c r="Q13" s="58"/>
      <c r="R13" s="27" t="s">
        <v>207</v>
      </c>
      <c r="S13" s="28"/>
    </row>
    <row r="14" spans="2:19">
      <c r="B14" s="27"/>
      <c r="C14" s="48"/>
      <c r="D14" s="48"/>
      <c r="E14" s="48"/>
      <c r="F14" s="48"/>
      <c r="G14" s="97" t="s">
        <v>8</v>
      </c>
      <c r="H14" s="110">
        <f>2.2873*D76</f>
        <v>1213.4503377803076</v>
      </c>
      <c r="I14" s="86" t="s">
        <v>8</v>
      </c>
      <c r="J14" s="88">
        <f>1.1163*D76</f>
        <v>592.21554324494264</v>
      </c>
      <c r="K14" s="86" t="s">
        <v>8</v>
      </c>
      <c r="L14" s="88">
        <f>0.8749*D76</f>
        <v>464.14886570366411</v>
      </c>
      <c r="M14" s="86" t="s">
        <v>8</v>
      </c>
      <c r="N14" s="88">
        <f>0.759*D76</f>
        <v>402.66200602249523</v>
      </c>
      <c r="O14" s="86" t="s">
        <v>8</v>
      </c>
      <c r="P14" s="92">
        <f>0.6774*D76</f>
        <v>359.37186150149972</v>
      </c>
      <c r="Q14" s="58"/>
      <c r="R14" s="27" t="s">
        <v>205</v>
      </c>
      <c r="S14" s="28"/>
    </row>
    <row r="15" spans="2:19" ht="15" thickBot="1">
      <c r="B15" s="27"/>
      <c r="C15" s="48"/>
      <c r="D15" s="48"/>
      <c r="E15" s="48"/>
      <c r="F15" s="48"/>
      <c r="G15" s="48"/>
      <c r="H15" s="48"/>
      <c r="I15" s="97" t="s">
        <v>10</v>
      </c>
      <c r="J15" s="98">
        <f>2.2448*D77</f>
        <v>2.9772584687723889</v>
      </c>
      <c r="K15" s="86" t="s">
        <v>10</v>
      </c>
      <c r="L15" s="83">
        <f>1.0671*D77</f>
        <v>1.4152853314446792</v>
      </c>
      <c r="M15" s="86" t="s">
        <v>10</v>
      </c>
      <c r="N15" s="83">
        <f>0.8427*D77</f>
        <v>1.117665587862835</v>
      </c>
      <c r="O15" s="86" t="s">
        <v>10</v>
      </c>
      <c r="P15" s="87">
        <f>0.7252*D77</f>
        <v>0.96182637275202076</v>
      </c>
      <c r="Q15" s="58"/>
      <c r="R15" s="17" t="s">
        <v>225</v>
      </c>
      <c r="S15" s="25"/>
    </row>
    <row r="16" spans="2:19" ht="15" thickTop="1">
      <c r="B16" s="27"/>
      <c r="C16" s="48"/>
      <c r="D16" s="48"/>
      <c r="E16" s="48"/>
      <c r="F16" s="48"/>
      <c r="G16" s="48"/>
      <c r="H16" s="48"/>
      <c r="I16" s="48"/>
      <c r="J16" s="48"/>
      <c r="K16" s="97" t="s">
        <v>11</v>
      </c>
      <c r="L16" s="110">
        <f>2.2845*D76</f>
        <v>1211.9648916447832</v>
      </c>
      <c r="M16" s="86" t="s">
        <v>11</v>
      </c>
      <c r="N16" s="88">
        <f>1.0901*D76</f>
        <v>578.31601154825046</v>
      </c>
      <c r="O16" s="86" t="s">
        <v>11</v>
      </c>
      <c r="P16" s="92">
        <f>0.845*D76</f>
        <v>448.28642304217186</v>
      </c>
      <c r="Q16" s="58"/>
      <c r="R16" s="58"/>
    </row>
    <row r="17" spans="2:18">
      <c r="B17" s="27"/>
      <c r="C17" s="48"/>
      <c r="D17" s="48"/>
      <c r="E17" s="48"/>
      <c r="F17" s="58"/>
      <c r="G17" s="39"/>
      <c r="H17" s="39" t="s">
        <v>83</v>
      </c>
      <c r="I17" s="48"/>
      <c r="J17" s="48"/>
      <c r="K17" s="48"/>
      <c r="L17" s="48"/>
      <c r="M17" s="97" t="s">
        <v>12</v>
      </c>
      <c r="N17" s="98">
        <f>2.2415*D77</f>
        <v>2.9728817078373617</v>
      </c>
      <c r="O17" s="86" t="s">
        <v>12</v>
      </c>
      <c r="P17" s="87">
        <f>1.0447*D77</f>
        <v>1.3855764087341922</v>
      </c>
      <c r="Q17" s="58"/>
      <c r="R17" s="58"/>
    </row>
    <row r="18" spans="2:18" ht="15" thickBot="1">
      <c r="B18" s="17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3"/>
      <c r="O18" s="100" t="s">
        <v>38</v>
      </c>
      <c r="P18" s="117">
        <f>2.2834*D76</f>
        <v>1211.3813235201128</v>
      </c>
      <c r="Q18" s="58"/>
      <c r="R18" s="58"/>
    </row>
    <row r="19" spans="2:18" ht="15.6" thickTop="1" thickBot="1"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58"/>
      <c r="R19" s="58"/>
    </row>
    <row r="20" spans="2:18" ht="15" thickTop="1">
      <c r="B20" s="16"/>
      <c r="C20" s="12" t="s">
        <v>31</v>
      </c>
      <c r="D20" s="14"/>
      <c r="E20" s="12" t="s">
        <v>32</v>
      </c>
      <c r="F20" s="14"/>
      <c r="G20" s="12" t="s">
        <v>33</v>
      </c>
      <c r="H20" s="13"/>
      <c r="I20" s="14" t="s">
        <v>34</v>
      </c>
      <c r="J20" s="14"/>
      <c r="K20" s="12" t="s">
        <v>35</v>
      </c>
      <c r="L20" s="13"/>
      <c r="M20" s="19" t="s">
        <v>36</v>
      </c>
      <c r="N20" s="13"/>
      <c r="O20" s="18" t="s">
        <v>37</v>
      </c>
      <c r="P20" s="108"/>
      <c r="Q20" s="58"/>
      <c r="R20" s="58"/>
    </row>
    <row r="21" spans="2:18">
      <c r="B21" s="15" t="s">
        <v>1</v>
      </c>
      <c r="C21" s="80" t="s">
        <v>22</v>
      </c>
      <c r="D21" s="106">
        <f>0.4328*D77</f>
        <v>0.57401882808476923</v>
      </c>
      <c r="E21" s="80" t="s">
        <v>22</v>
      </c>
      <c r="F21" s="106">
        <f>0.3363*D77</f>
        <v>0.44603172801503665</v>
      </c>
      <c r="G21" s="80" t="s">
        <v>22</v>
      </c>
      <c r="H21" s="106">
        <f>0.2751*D77</f>
        <v>0.36486270703817009</v>
      </c>
      <c r="I21" s="80" t="s">
        <v>22</v>
      </c>
      <c r="J21" s="106">
        <f>0.2374*D77</f>
        <v>0.31486152908346626</v>
      </c>
      <c r="K21" s="80" t="s">
        <v>22</v>
      </c>
      <c r="L21" s="123">
        <f>0.2085*D77</f>
        <v>0.27653171362216816</v>
      </c>
      <c r="M21" s="80" t="s">
        <v>22</v>
      </c>
      <c r="N21" s="123">
        <f>0.1891*D77</f>
        <v>0.25080166448897839</v>
      </c>
      <c r="O21" s="50" t="s">
        <v>22</v>
      </c>
      <c r="P21" s="109">
        <f>0.1718*D77</f>
        <v>0.22785682685989683</v>
      </c>
      <c r="Q21" s="58"/>
      <c r="R21" s="58"/>
    </row>
    <row r="22" spans="2:18">
      <c r="B22" s="15"/>
      <c r="C22" s="86" t="s">
        <v>23</v>
      </c>
      <c r="D22" s="90">
        <f>1.0427*D76</f>
        <v>553.16953053973089</v>
      </c>
      <c r="E22" s="86" t="s">
        <v>23</v>
      </c>
      <c r="F22" s="90">
        <f>0.7963*D76</f>
        <v>422.45027061358758</v>
      </c>
      <c r="G22" s="86" t="s">
        <v>23</v>
      </c>
      <c r="H22" s="90">
        <f>0.6541*D76</f>
        <v>347.01082758802914</v>
      </c>
      <c r="I22" s="86" t="s">
        <v>23</v>
      </c>
      <c r="J22" s="90">
        <f>0.5662*D76</f>
        <v>300.37842926210385</v>
      </c>
      <c r="K22" s="86" t="s">
        <v>23</v>
      </c>
      <c r="L22" s="88">
        <f>0.4999*D76</f>
        <v>265.20518683879493</v>
      </c>
      <c r="M22" s="86" t="s">
        <v>23</v>
      </c>
      <c r="N22" s="88">
        <f>0.4543*D76</f>
        <v>241.01363548882685</v>
      </c>
      <c r="O22" s="91" t="s">
        <v>23</v>
      </c>
      <c r="P22" s="92">
        <f>0.4146*D76</f>
        <v>219.95213135299937</v>
      </c>
      <c r="Q22" s="58"/>
      <c r="R22" s="58"/>
    </row>
    <row r="23" spans="2:18">
      <c r="B23" s="27"/>
      <c r="C23" s="97" t="s">
        <v>24</v>
      </c>
      <c r="D23" s="98">
        <f>2.2542*D77</f>
        <v>2.989725605981254</v>
      </c>
      <c r="E23" s="91" t="s">
        <v>24</v>
      </c>
      <c r="F23" s="85">
        <f>1.1428*D77</f>
        <v>1.5156855747118168</v>
      </c>
      <c r="G23" s="91" t="s">
        <v>24</v>
      </c>
      <c r="H23" s="85">
        <f>0.8892*D77</f>
        <v>1.1793381283109445</v>
      </c>
      <c r="I23" s="86" t="s">
        <v>24</v>
      </c>
      <c r="J23" s="85">
        <f>0.7578*D77</f>
        <v>1.0050634656253192</v>
      </c>
      <c r="K23" s="86" t="s">
        <v>24</v>
      </c>
      <c r="L23" s="83">
        <f>0.6653*D77</f>
        <v>0.88238153032531641</v>
      </c>
      <c r="M23" s="86" t="s">
        <v>24</v>
      </c>
      <c r="N23" s="83">
        <f>0.6031*D77</f>
        <v>0.79988621815601735</v>
      </c>
      <c r="O23" s="91" t="s">
        <v>24</v>
      </c>
      <c r="P23" s="87">
        <f>0.5498*D77</f>
        <v>0.72919489759936706</v>
      </c>
      <c r="Q23" s="58"/>
      <c r="R23" s="58"/>
    </row>
    <row r="24" spans="2:18">
      <c r="B24" s="27"/>
      <c r="C24" s="48"/>
      <c r="D24" s="48"/>
      <c r="E24" s="99" t="s">
        <v>25</v>
      </c>
      <c r="F24" s="110">
        <f>2.2459*D76</f>
        <v>1191.4869556336257</v>
      </c>
      <c r="G24" s="91" t="s">
        <v>25</v>
      </c>
      <c r="H24" s="90">
        <f>1.1034*D76</f>
        <v>585.37188069199101</v>
      </c>
      <c r="I24" s="86" t="s">
        <v>25</v>
      </c>
      <c r="J24" s="90">
        <f>0.876*D76</f>
        <v>464.73243382833442</v>
      </c>
      <c r="K24" s="86" t="s">
        <v>25</v>
      </c>
      <c r="L24" s="88">
        <f>0.7521*D76</f>
        <v>399.00144233138161</v>
      </c>
      <c r="M24" s="86" t="s">
        <v>25</v>
      </c>
      <c r="N24" s="88">
        <f>0.675*D76</f>
        <v>358.09862195676453</v>
      </c>
      <c r="O24" s="91" t="s">
        <v>25</v>
      </c>
      <c r="P24" s="92">
        <f>0.6132*D76</f>
        <v>325.3127036798341</v>
      </c>
      <c r="Q24" s="58"/>
      <c r="R24" s="58"/>
    </row>
    <row r="25" spans="2:18">
      <c r="B25" s="27"/>
      <c r="C25" s="48"/>
      <c r="D25" s="48"/>
      <c r="E25" s="48"/>
      <c r="F25" s="48"/>
      <c r="G25" s="99" t="s">
        <v>26</v>
      </c>
      <c r="H25" s="98">
        <f>2.2873*D77</f>
        <v>3.0336258444507687</v>
      </c>
      <c r="I25" s="86" t="s">
        <v>26</v>
      </c>
      <c r="J25" s="85">
        <f>1.1163*D77</f>
        <v>1.4805388581123564</v>
      </c>
      <c r="K25" s="86" t="s">
        <v>26</v>
      </c>
      <c r="L25" s="83">
        <f>0.8749*D77</f>
        <v>1.1603721642591602</v>
      </c>
      <c r="M25" s="86" t="s">
        <v>26</v>
      </c>
      <c r="N25" s="83">
        <f>0.759*D77</f>
        <v>1.0066550150562381</v>
      </c>
      <c r="O25" s="91" t="s">
        <v>26</v>
      </c>
      <c r="P25" s="87">
        <f>0.6774*D77</f>
        <v>0.89842965375374917</v>
      </c>
      <c r="Q25" s="58"/>
      <c r="R25" s="58"/>
    </row>
    <row r="26" spans="2:18">
      <c r="B26" s="27"/>
      <c r="C26" s="48"/>
      <c r="D26" s="48"/>
      <c r="E26" s="48"/>
      <c r="F26" s="48"/>
      <c r="G26" s="48"/>
      <c r="H26" s="48"/>
      <c r="I26" s="97" t="s">
        <v>27</v>
      </c>
      <c r="J26" s="110">
        <f>2.2448*D76</f>
        <v>1190.9033875089556</v>
      </c>
      <c r="K26" s="86" t="s">
        <v>27</v>
      </c>
      <c r="L26" s="88">
        <f>1.0671*D76</f>
        <v>566.11413257787171</v>
      </c>
      <c r="M26" s="86" t="s">
        <v>27</v>
      </c>
      <c r="N26" s="88">
        <f>0.8427*D76</f>
        <v>447.06623514513404</v>
      </c>
      <c r="O26" s="91" t="s">
        <v>27</v>
      </c>
      <c r="P26" s="92">
        <f>0.7252*D76</f>
        <v>384.73054910080833</v>
      </c>
      <c r="Q26" s="58"/>
      <c r="R26" s="58"/>
    </row>
    <row r="27" spans="2:18">
      <c r="B27" s="27"/>
      <c r="C27" s="48"/>
      <c r="D27" s="48"/>
      <c r="E27" s="48"/>
      <c r="F27" s="48"/>
      <c r="G27" s="48"/>
      <c r="H27" s="48"/>
      <c r="I27" s="48"/>
      <c r="J27" s="48"/>
      <c r="K27" s="97" t="s">
        <v>28</v>
      </c>
      <c r="L27" s="105">
        <f>2.2845*D77</f>
        <v>3.0299122291119573</v>
      </c>
      <c r="M27" s="86" t="s">
        <v>28</v>
      </c>
      <c r="N27" s="83">
        <f>1.0901*D77</f>
        <v>1.445790028870626</v>
      </c>
      <c r="O27" s="91" t="s">
        <v>28</v>
      </c>
      <c r="P27" s="87">
        <f>0.845*D77</f>
        <v>1.1207160576054296</v>
      </c>
      <c r="Q27" s="58"/>
      <c r="R27" s="58"/>
    </row>
    <row r="28" spans="2:18">
      <c r="B28" s="27"/>
      <c r="C28" s="48"/>
      <c r="D28" s="48"/>
      <c r="E28" s="48"/>
      <c r="F28" s="48"/>
      <c r="G28" s="58"/>
      <c r="H28" s="39" t="s">
        <v>44</v>
      </c>
      <c r="I28" s="48"/>
      <c r="J28" s="48"/>
      <c r="K28" s="48"/>
      <c r="L28" s="48"/>
      <c r="M28" s="97" t="s">
        <v>29</v>
      </c>
      <c r="N28" s="115">
        <f>2.2415*D76</f>
        <v>1189.1526831349447</v>
      </c>
      <c r="O28" s="91" t="s">
        <v>29</v>
      </c>
      <c r="P28" s="92">
        <f>1.0447*D76</f>
        <v>554.23056349367687</v>
      </c>
      <c r="Q28" s="58"/>
      <c r="R28" s="58"/>
    </row>
    <row r="29" spans="2:18" ht="15" thickBot="1">
      <c r="B29" s="17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6" t="s">
        <v>30</v>
      </c>
      <c r="P29" s="101">
        <f>2.2834*D77</f>
        <v>3.0284533088002816</v>
      </c>
      <c r="Q29" s="58"/>
      <c r="R29" s="58"/>
    </row>
    <row r="30" spans="2:18" ht="15" thickTop="1"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</row>
    <row r="31" spans="2:18"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</row>
    <row r="32" spans="2:18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</row>
    <row r="33" spans="2:18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</row>
    <row r="34" spans="2:18"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</row>
    <row r="75" spans="3:4" ht="15" thickBot="1"/>
    <row r="76" spans="3:4" ht="15" thickTop="1">
      <c r="C76" s="118" t="s">
        <v>5</v>
      </c>
      <c r="D76" s="119">
        <f>(1000000000000/(2*PI()*E4*E6*1000000))</f>
        <v>530.51647697298449</v>
      </c>
    </row>
    <row r="77" spans="3:4" ht="15" thickBot="1">
      <c r="C77" s="72" t="s">
        <v>6</v>
      </c>
      <c r="D77" s="73">
        <f>(E4*1000000/(2*PI()*E6*1000000))*1</f>
        <v>1.3262911924324612</v>
      </c>
    </row>
    <row r="78" spans="3:4" ht="15" thickTop="1"/>
  </sheetData>
  <sheetProtection sheet="1" objects="1" scenarios="1"/>
  <pageMargins left="0.7" right="0.7" top="0.75" bottom="0.75" header="0.3" footer="0.3"/>
  <pageSetup orientation="portrait" horizontalDpi="4294967293" verticalDpi="0" r:id="rId1"/>
  <drawing r:id="rId2"/>
  <picture r:id="rId3"/>
</worksheet>
</file>

<file path=xl/worksheets/sheet8.xml><?xml version="1.0" encoding="utf-8"?>
<worksheet xmlns="http://schemas.openxmlformats.org/spreadsheetml/2006/main" xmlns:r="http://schemas.openxmlformats.org/officeDocument/2006/relationships">
  <dimension ref="B1:P103"/>
  <sheetViews>
    <sheetView showGridLines="0" workbookViewId="0">
      <selection activeCell="O81" sqref="O81"/>
    </sheetView>
  </sheetViews>
  <sheetFormatPr defaultRowHeight="14.4"/>
  <cols>
    <col min="1" max="1" width="2.88671875" customWidth="1"/>
    <col min="2" max="2" width="4" customWidth="1"/>
    <col min="4" max="4" width="14.88671875" customWidth="1"/>
    <col min="5" max="5" width="14" customWidth="1"/>
    <col min="6" max="6" width="10.6640625" customWidth="1"/>
    <col min="7" max="7" width="13.88671875" customWidth="1"/>
    <col min="8" max="8" width="12.6640625" customWidth="1"/>
    <col min="9" max="9" width="14" customWidth="1"/>
    <col min="10" max="10" width="14.33203125" customWidth="1"/>
    <col min="11" max="11" width="14.88671875" customWidth="1"/>
    <col min="12" max="12" width="16" customWidth="1"/>
    <col min="13" max="13" width="13.5546875" customWidth="1"/>
    <col min="14" max="14" width="3.5546875" customWidth="1"/>
    <col min="16" max="16" width="26.88671875" customWidth="1"/>
  </cols>
  <sheetData>
    <row r="1" spans="2:16" ht="15" thickBot="1"/>
    <row r="2" spans="2:16" ht="18.600000000000001" thickTop="1">
      <c r="B2" s="58"/>
      <c r="C2" s="1" t="s">
        <v>162</v>
      </c>
      <c r="D2" s="1"/>
      <c r="E2" s="1"/>
      <c r="F2" s="1"/>
      <c r="G2" s="58"/>
      <c r="H2" s="58"/>
      <c r="I2" s="58"/>
      <c r="J2" s="58"/>
      <c r="K2" s="58"/>
      <c r="L2" s="58"/>
      <c r="M2" s="58"/>
      <c r="N2" s="58"/>
      <c r="O2" s="16" t="s">
        <v>211</v>
      </c>
      <c r="P2" s="108"/>
    </row>
    <row r="3" spans="2:16" ht="15" thickBot="1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27" t="s">
        <v>230</v>
      </c>
      <c r="P3" s="28"/>
    </row>
    <row r="4" spans="2:16" ht="15" thickTop="1">
      <c r="B4" s="58"/>
      <c r="C4" s="16" t="s">
        <v>136</v>
      </c>
      <c r="D4" s="14"/>
      <c r="E4" s="14"/>
      <c r="F4" s="71">
        <v>50</v>
      </c>
      <c r="G4" s="58"/>
      <c r="H4" s="58"/>
      <c r="I4" s="58"/>
      <c r="L4" s="58"/>
      <c r="M4" s="58"/>
      <c r="N4" s="58"/>
      <c r="O4" s="27" t="s">
        <v>74</v>
      </c>
      <c r="P4" s="28"/>
    </row>
    <row r="5" spans="2:16">
      <c r="B5" s="58"/>
      <c r="C5" s="31" t="s">
        <v>75</v>
      </c>
      <c r="D5" s="32"/>
      <c r="E5" s="32"/>
      <c r="F5" s="74">
        <v>14</v>
      </c>
      <c r="G5" s="58"/>
      <c r="H5" s="58"/>
      <c r="I5" s="58"/>
      <c r="L5" s="58"/>
      <c r="M5" s="58"/>
      <c r="N5" s="58"/>
      <c r="O5" s="27" t="s">
        <v>202</v>
      </c>
      <c r="P5" s="28"/>
    </row>
    <row r="6" spans="2:16" ht="15" thickBot="1">
      <c r="B6" s="58"/>
      <c r="C6" s="17" t="s">
        <v>73</v>
      </c>
      <c r="D6" s="33"/>
      <c r="E6" s="33"/>
      <c r="F6" s="75">
        <v>5</v>
      </c>
      <c r="G6" s="58"/>
      <c r="H6" s="58"/>
      <c r="I6" s="58"/>
      <c r="J6" s="58"/>
      <c r="K6" s="58"/>
      <c r="L6" s="58"/>
      <c r="M6" s="58"/>
      <c r="N6" s="58"/>
      <c r="O6" s="29" t="s">
        <v>96</v>
      </c>
      <c r="P6" s="28"/>
    </row>
    <row r="7" spans="2:16" ht="15.6" thickTop="1" thickBot="1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29" t="s">
        <v>97</v>
      </c>
      <c r="P7" s="28"/>
    </row>
    <row r="8" spans="2:16" ht="15" thickTop="1">
      <c r="B8" s="16"/>
      <c r="C8" s="14"/>
      <c r="D8" s="12" t="s">
        <v>115</v>
      </c>
      <c r="E8" s="13"/>
      <c r="F8" s="12" t="s">
        <v>119</v>
      </c>
      <c r="G8" s="14"/>
      <c r="H8" s="12" t="s">
        <v>151</v>
      </c>
      <c r="I8" s="108"/>
      <c r="J8" s="58"/>
      <c r="K8" s="16"/>
      <c r="L8" s="14" t="s">
        <v>116</v>
      </c>
      <c r="M8" s="108"/>
      <c r="N8" s="58"/>
      <c r="O8" s="29" t="s">
        <v>102</v>
      </c>
      <c r="P8" s="28"/>
    </row>
    <row r="9" spans="2:16">
      <c r="B9" s="27"/>
      <c r="C9" s="46"/>
      <c r="D9" s="79" t="s">
        <v>2</v>
      </c>
      <c r="E9" s="77">
        <f>1.0163*E72</f>
        <v>646.99667539647453</v>
      </c>
      <c r="F9" s="80" t="s">
        <v>2</v>
      </c>
      <c r="G9" s="81">
        <f>1.076*E72</f>
        <v>685.00287585024762</v>
      </c>
      <c r="H9" s="80" t="s">
        <v>2</v>
      </c>
      <c r="I9" s="114">
        <f>1.066*E72</f>
        <v>678.63667811929736</v>
      </c>
      <c r="J9" s="58"/>
      <c r="K9" s="27" t="s">
        <v>31</v>
      </c>
      <c r="L9" s="48" t="s">
        <v>117</v>
      </c>
      <c r="M9" s="128">
        <f>0.000001/(2*PI()*((E11*0.000000000001*E12*0.000001)^0.5))</f>
        <v>41.430013040639636</v>
      </c>
      <c r="N9" s="58"/>
      <c r="O9" s="55" t="s">
        <v>168</v>
      </c>
      <c r="P9" s="28"/>
    </row>
    <row r="10" spans="2:16">
      <c r="B10" s="27"/>
      <c r="C10" s="46"/>
      <c r="D10" s="86" t="s">
        <v>22</v>
      </c>
      <c r="E10" s="83">
        <f>1000000/(4*PI()^2*E80^2*E9*0.000000000001)</f>
        <v>0.20632717392929284</v>
      </c>
      <c r="F10" s="86" t="s">
        <v>22</v>
      </c>
      <c r="G10" s="85">
        <f>1000000/(4*PI()^2*E80^2*G9*0.000000000001)</f>
        <v>0.19487946734604111</v>
      </c>
      <c r="H10" s="86" t="s">
        <v>22</v>
      </c>
      <c r="I10" s="87">
        <f>1000000/(4*PI()^2*K80^2*I9*0.000000000001)</f>
        <v>0.1967076049384055</v>
      </c>
      <c r="J10" s="58"/>
      <c r="K10" s="27"/>
      <c r="L10" s="48" t="s">
        <v>118</v>
      </c>
      <c r="M10" s="128">
        <f>0.000001/(2*PI()*(E14*0.000001*E13*0.000000000001)^0.5)</f>
        <v>4.580013040639642</v>
      </c>
      <c r="N10" s="58"/>
      <c r="O10" s="29" t="s">
        <v>139</v>
      </c>
      <c r="P10" s="28"/>
    </row>
    <row r="11" spans="2:16">
      <c r="B11" s="27"/>
      <c r="C11" s="46"/>
      <c r="D11" s="86" t="s">
        <v>104</v>
      </c>
      <c r="E11" s="88">
        <f>0.0163*E72*E89</f>
        <v>11.524050090551949</v>
      </c>
      <c r="F11" s="86" t="s">
        <v>104</v>
      </c>
      <c r="G11" s="90">
        <f>0.08396*E72*H89</f>
        <v>72.035408760934843</v>
      </c>
      <c r="H11" s="86" t="s">
        <v>104</v>
      </c>
      <c r="I11" s="92">
        <f>0.1373*E72*K89</f>
        <v>125.03628972427148</v>
      </c>
      <c r="J11" s="58"/>
      <c r="K11" s="162"/>
      <c r="L11" s="49"/>
      <c r="M11" s="129"/>
      <c r="N11" s="58"/>
      <c r="O11" s="27" t="s">
        <v>176</v>
      </c>
      <c r="P11" s="28"/>
    </row>
    <row r="12" spans="2:16">
      <c r="B12" s="27"/>
      <c r="C12" s="46"/>
      <c r="D12" s="86" t="s">
        <v>105</v>
      </c>
      <c r="E12" s="83">
        <f>1000000/(4*PI()^2*E87^2*E11*0.000000000001)</f>
        <v>1.2805749024021063</v>
      </c>
      <c r="F12" s="86" t="s">
        <v>105</v>
      </c>
      <c r="G12" s="85">
        <f>1000000/(4*PI()^2*H87^2*G11*0.000000000001)</f>
        <v>0.64434444236001265</v>
      </c>
      <c r="H12" s="86" t="s">
        <v>105</v>
      </c>
      <c r="I12" s="87">
        <f>1000000/(4*PI()^2*(M17*1000000)^2*I11*0.000000000001)</f>
        <v>0.45960784480041994</v>
      </c>
      <c r="J12" s="58"/>
      <c r="K12" s="27" t="s">
        <v>65</v>
      </c>
      <c r="L12" s="50" t="s">
        <v>117</v>
      </c>
      <c r="M12" s="128">
        <f>H87/1000000</f>
        <v>23.360819602600031</v>
      </c>
      <c r="N12" s="58"/>
      <c r="O12" s="27" t="s">
        <v>191</v>
      </c>
      <c r="P12" s="28"/>
    </row>
    <row r="13" spans="2:16">
      <c r="B13" s="27"/>
      <c r="C13" s="46"/>
      <c r="D13" s="86" t="s">
        <v>106</v>
      </c>
      <c r="E13" s="88">
        <f>0.0163*E72*E90</f>
        <v>104.24458212151124</v>
      </c>
      <c r="F13" s="86" t="s">
        <v>106</v>
      </c>
      <c r="G13" s="90">
        <f>0.08396*E72*H90</f>
        <v>207.17645222059113</v>
      </c>
      <c r="H13" s="86" t="s">
        <v>106</v>
      </c>
      <c r="I13" s="92">
        <f>0.1373*E72*K90</f>
        <v>290.44977601322393</v>
      </c>
      <c r="J13" s="58"/>
      <c r="K13" s="27"/>
      <c r="L13" s="50" t="s">
        <v>118</v>
      </c>
      <c r="M13" s="128">
        <f>H88/1000000</f>
        <v>8.1225746026000323</v>
      </c>
      <c r="N13" s="58"/>
      <c r="O13" s="27" t="s">
        <v>207</v>
      </c>
      <c r="P13" s="28"/>
    </row>
    <row r="14" spans="2:16">
      <c r="B14" s="27"/>
      <c r="C14" s="46"/>
      <c r="D14" s="86" t="s">
        <v>107</v>
      </c>
      <c r="E14" s="83">
        <f>1000000/(4*PI()^2*E88^2*E13*0.000000000001)</f>
        <v>11.583861101545153</v>
      </c>
      <c r="F14" s="86" t="s">
        <v>107</v>
      </c>
      <c r="G14" s="85">
        <f>1000000/(4*PI()^2*H88^2*G13*0.000000000001)</f>
        <v>1.8531580214839642</v>
      </c>
      <c r="H14" s="86" t="s">
        <v>107</v>
      </c>
      <c r="I14" s="87">
        <f>1000000/(4*PI()^2*(M18*1000000)^2*I13*0.000000000001)</f>
        <v>1.0676340114584315</v>
      </c>
      <c r="J14" s="58"/>
      <c r="K14" s="27"/>
      <c r="L14" s="48" t="s">
        <v>124</v>
      </c>
      <c r="M14" s="128">
        <f>H92/1000000</f>
        <v>19.552337169691903</v>
      </c>
      <c r="N14" s="58"/>
      <c r="O14" s="27" t="s">
        <v>205</v>
      </c>
      <c r="P14" s="28"/>
    </row>
    <row r="15" spans="2:16" ht="15" thickBot="1">
      <c r="B15" s="27"/>
      <c r="C15" s="46"/>
      <c r="D15" s="86" t="s">
        <v>4</v>
      </c>
      <c r="E15" s="88">
        <f>1.0163*E72</f>
        <v>646.99667539647453</v>
      </c>
      <c r="F15" s="86" t="s">
        <v>4</v>
      </c>
      <c r="G15" s="90">
        <f>1.767*E72</f>
        <v>1124.9071390589102</v>
      </c>
      <c r="H15" s="86" t="s">
        <v>4</v>
      </c>
      <c r="I15" s="92">
        <f>1.553*E72</f>
        <v>988.6705076165747</v>
      </c>
      <c r="J15" s="58"/>
      <c r="K15" s="27"/>
      <c r="L15" s="50" t="s">
        <v>125</v>
      </c>
      <c r="M15" s="128">
        <f>H93/1000000</f>
        <v>9.7047221696919017</v>
      </c>
      <c r="N15" s="58"/>
      <c r="O15" s="68" t="s">
        <v>241</v>
      </c>
      <c r="P15" s="68"/>
    </row>
    <row r="16" spans="2:16" ht="15" thickTop="1">
      <c r="B16" s="27"/>
      <c r="C16" s="46"/>
      <c r="D16" s="142" t="s">
        <v>24</v>
      </c>
      <c r="E16" s="94">
        <f>1000000/(4*PI()^2*E80^2*E15*0.000000000001)</f>
        <v>0.20632717392929284</v>
      </c>
      <c r="F16" s="86" t="s">
        <v>24</v>
      </c>
      <c r="G16" s="85">
        <f>1000000/(4*PI()^2*E80^2*G15*0.000000000001)</f>
        <v>0.1186702359164348</v>
      </c>
      <c r="H16" s="86" t="s">
        <v>24</v>
      </c>
      <c r="I16" s="87">
        <f>1000000/(4*PI()^2*K80^2*I15*0.000000000001)</f>
        <v>0.13502273461966538</v>
      </c>
      <c r="J16" s="58"/>
      <c r="K16" s="162"/>
      <c r="L16" s="163"/>
      <c r="M16" s="164"/>
      <c r="N16" s="58"/>
      <c r="O16" s="58"/>
      <c r="P16" s="58"/>
    </row>
    <row r="17" spans="2:16">
      <c r="B17" s="27"/>
      <c r="C17" s="46"/>
      <c r="D17" s="46"/>
      <c r="E17" s="46"/>
      <c r="F17" s="86" t="s">
        <v>120</v>
      </c>
      <c r="G17" s="90">
        <f>0.2317*E72*H94</f>
        <v>220.71820318532005</v>
      </c>
      <c r="H17" s="86" t="s">
        <v>120</v>
      </c>
      <c r="I17" s="92">
        <f>0.6789*E72*K94</f>
        <v>705.76128718477298</v>
      </c>
      <c r="J17" s="58"/>
      <c r="K17" s="27" t="s">
        <v>161</v>
      </c>
      <c r="L17" s="50" t="s">
        <v>117</v>
      </c>
      <c r="M17" s="128">
        <f>K87/1000000</f>
        <v>20.994637296743154</v>
      </c>
      <c r="N17" s="58"/>
      <c r="O17" s="58"/>
      <c r="P17" s="58"/>
    </row>
    <row r="18" spans="2:16">
      <c r="B18" s="27"/>
      <c r="C18" s="46"/>
      <c r="D18" s="46"/>
      <c r="E18" s="46"/>
      <c r="F18" s="86" t="s">
        <v>121</v>
      </c>
      <c r="G18" s="85">
        <f>1000000/(4*PI()^2*H92^2*G17*0.000000000001)</f>
        <v>0.30019589945627534</v>
      </c>
      <c r="H18" s="86" t="s">
        <v>121</v>
      </c>
      <c r="I18" s="87">
        <f>1000000/(4*PI()^2*(M19*1000000)^2*I17*0.000000000001)</f>
        <v>0.11972021959344568</v>
      </c>
      <c r="J18" s="58"/>
      <c r="K18" s="27"/>
      <c r="L18" s="50" t="s">
        <v>118</v>
      </c>
      <c r="M18" s="128">
        <f>K88/1000000</f>
        <v>9.0380222967431525</v>
      </c>
      <c r="N18" s="58"/>
      <c r="O18" s="58"/>
      <c r="P18" s="58"/>
    </row>
    <row r="19" spans="2:16">
      <c r="B19" s="27"/>
      <c r="C19" s="46"/>
      <c r="D19" s="46"/>
      <c r="E19" s="46"/>
      <c r="F19" s="86" t="s">
        <v>122</v>
      </c>
      <c r="G19" s="90">
        <f>0.2317*E72*H95</f>
        <v>444.68627259062987</v>
      </c>
      <c r="H19" s="86" t="s">
        <v>122</v>
      </c>
      <c r="I19" s="92">
        <f>0.6789*E72*K95</f>
        <v>1115.041352492733</v>
      </c>
      <c r="J19" s="58"/>
      <c r="K19" s="27"/>
      <c r="L19" s="48" t="s">
        <v>124</v>
      </c>
      <c r="M19" s="128">
        <f>K92/1000000</f>
        <v>17.314400660548195</v>
      </c>
      <c r="N19" s="58"/>
      <c r="O19" s="58"/>
      <c r="P19" s="58"/>
    </row>
    <row r="20" spans="2:16">
      <c r="B20" s="27"/>
      <c r="C20" s="46"/>
      <c r="D20" s="46"/>
      <c r="E20" s="46"/>
      <c r="F20" s="86" t="s">
        <v>123</v>
      </c>
      <c r="G20" s="85">
        <f>1000000/(4*PI()^2*H93^2*G19*0.000000000001)</f>
        <v>0.60481189883608677</v>
      </c>
      <c r="H20" s="86" t="s">
        <v>123</v>
      </c>
      <c r="I20" s="87">
        <f>1000000/(4*PI()^2*(M20*1000000)^2*I19*0.000000000001)</f>
        <v>0.18914751772330252</v>
      </c>
      <c r="J20" s="58"/>
      <c r="K20" s="27"/>
      <c r="L20" s="50" t="s">
        <v>125</v>
      </c>
      <c r="M20" s="128">
        <f>K93/1000000</f>
        <v>10.959085660548197</v>
      </c>
      <c r="N20" s="58"/>
      <c r="O20" s="58"/>
      <c r="P20" s="58"/>
    </row>
    <row r="21" spans="2:16">
      <c r="B21" s="27"/>
      <c r="C21" s="46"/>
      <c r="D21" s="46"/>
      <c r="E21" s="46"/>
      <c r="F21" s="86" t="s">
        <v>8</v>
      </c>
      <c r="G21" s="81">
        <f>0.9509*E72</f>
        <v>605.36174223605985</v>
      </c>
      <c r="H21" s="86" t="s">
        <v>8</v>
      </c>
      <c r="I21" s="92">
        <f>1.375*E72</f>
        <v>875.3521880056602</v>
      </c>
      <c r="J21" s="58"/>
      <c r="K21" s="27"/>
      <c r="L21" s="50" t="s">
        <v>159</v>
      </c>
      <c r="M21" s="128">
        <f>K98/1000000</f>
        <v>17.934711781940813</v>
      </c>
      <c r="N21" s="58"/>
      <c r="O21" s="58"/>
      <c r="P21" s="58"/>
    </row>
    <row r="22" spans="2:16" ht="15" thickBot="1">
      <c r="B22" s="27"/>
      <c r="C22" s="46"/>
      <c r="D22" s="46"/>
      <c r="E22" s="46"/>
      <c r="F22" s="95" t="s">
        <v>26</v>
      </c>
      <c r="G22" s="96">
        <f>1000000/(4*PI()^2*E80^2*G21*0.000000000001)</f>
        <v>0.22051772727346755</v>
      </c>
      <c r="H22" s="91" t="s">
        <v>26</v>
      </c>
      <c r="I22" s="87">
        <f>1000000/(4*PI()^2*K80^2*I21*0.000000000001)</f>
        <v>0.15250204135588386</v>
      </c>
      <c r="J22" s="58"/>
      <c r="K22" s="27"/>
      <c r="L22" s="50" t="s">
        <v>160</v>
      </c>
      <c r="M22" s="128">
        <f>K99/1000000</f>
        <v>10.580041781940814</v>
      </c>
      <c r="N22" s="58"/>
      <c r="O22" s="58"/>
      <c r="P22" s="58"/>
    </row>
    <row r="23" spans="2:16" ht="15" thickTop="1">
      <c r="B23" s="27"/>
      <c r="C23" s="46"/>
      <c r="D23" s="46"/>
      <c r="E23" s="46"/>
      <c r="F23" s="46"/>
      <c r="G23" s="46"/>
      <c r="H23" s="86" t="s">
        <v>147</v>
      </c>
      <c r="I23" s="92">
        <f>0.4914*E72*K100</f>
        <v>497.38249486205626</v>
      </c>
      <c r="J23" s="58"/>
      <c r="K23" s="14"/>
      <c r="L23" s="14"/>
      <c r="M23" s="14"/>
      <c r="N23" s="58"/>
      <c r="O23" s="58"/>
      <c r="P23" s="58"/>
    </row>
    <row r="24" spans="2:16">
      <c r="B24" s="27"/>
      <c r="C24" s="46"/>
      <c r="D24" s="46"/>
      <c r="E24" s="46"/>
      <c r="F24" s="46"/>
      <c r="G24" s="46"/>
      <c r="H24" s="86" t="s">
        <v>148</v>
      </c>
      <c r="I24" s="87">
        <f>1000000/(4*PI()^2*K98^2*I23*0.000000000001)</f>
        <v>0.15832918028433593</v>
      </c>
      <c r="J24" s="58"/>
      <c r="K24" s="58"/>
      <c r="L24" s="58"/>
      <c r="M24" s="58"/>
      <c r="N24" s="58"/>
      <c r="O24" s="58"/>
      <c r="P24" s="58"/>
    </row>
    <row r="25" spans="2:16">
      <c r="B25" s="27"/>
      <c r="C25" s="46"/>
      <c r="D25" s="46"/>
      <c r="E25" s="46"/>
      <c r="F25" s="46"/>
      <c r="G25" s="46"/>
      <c r="H25" s="86" t="s">
        <v>149</v>
      </c>
      <c r="I25" s="92">
        <f>0.4914*E72*K101</f>
        <v>843.1357715391996</v>
      </c>
      <c r="J25" s="58"/>
      <c r="K25" s="58"/>
      <c r="L25" s="58"/>
      <c r="M25" s="58"/>
      <c r="N25" s="58"/>
      <c r="O25" s="58"/>
      <c r="P25" s="58"/>
    </row>
    <row r="26" spans="2:16">
      <c r="B26" s="27"/>
      <c r="C26" s="46"/>
      <c r="D26" s="46"/>
      <c r="E26" s="46"/>
      <c r="F26" s="46"/>
      <c r="G26" s="46"/>
      <c r="H26" s="86" t="s">
        <v>150</v>
      </c>
      <c r="I26" s="87">
        <f>1000000/(4*PI()^2*K99^2*I25*0.000000000001)</f>
        <v>0.26839102090479777</v>
      </c>
      <c r="J26" s="58"/>
      <c r="K26" s="58"/>
      <c r="L26" s="58"/>
      <c r="M26" s="58"/>
      <c r="N26" s="58"/>
      <c r="O26" s="58"/>
      <c r="P26" s="58"/>
    </row>
    <row r="27" spans="2:16">
      <c r="B27" s="27"/>
      <c r="C27" s="46"/>
      <c r="D27" s="46"/>
      <c r="E27" s="46"/>
      <c r="F27" s="46"/>
      <c r="G27" s="46"/>
      <c r="H27" s="86" t="s">
        <v>11</v>
      </c>
      <c r="I27" s="92">
        <f>0.8062*E72</f>
        <v>513.24286106920965</v>
      </c>
      <c r="J27" s="58"/>
      <c r="K27" s="58"/>
      <c r="L27" s="58"/>
      <c r="M27" s="58"/>
      <c r="N27" s="58"/>
      <c r="O27" s="58"/>
      <c r="P27" s="58"/>
    </row>
    <row r="28" spans="2:16" ht="15" thickBot="1">
      <c r="B28" s="17"/>
      <c r="C28" s="33"/>
      <c r="D28" s="33"/>
      <c r="E28" s="33"/>
      <c r="F28" s="33"/>
      <c r="G28" s="33"/>
      <c r="H28" s="100" t="s">
        <v>28</v>
      </c>
      <c r="I28" s="101">
        <f>1000000/(4*PI()^2*K80^2*I27*0.000000000001)</f>
        <v>0.26009713081659674</v>
      </c>
      <c r="J28" s="58"/>
      <c r="K28" s="58"/>
      <c r="L28" s="58"/>
      <c r="M28" s="58"/>
      <c r="N28" s="58"/>
      <c r="O28" s="58"/>
      <c r="P28" s="58"/>
    </row>
    <row r="29" spans="2:16" ht="15.6" thickTop="1" thickBot="1">
      <c r="B29" s="58"/>
      <c r="C29" s="58"/>
      <c r="D29" s="58"/>
      <c r="E29" s="58"/>
      <c r="F29" s="58"/>
      <c r="G29" s="58"/>
      <c r="H29" s="165"/>
      <c r="I29" s="14"/>
      <c r="J29" s="58"/>
      <c r="K29" s="58"/>
      <c r="L29" s="58"/>
      <c r="M29" s="58"/>
      <c r="N29" s="58"/>
      <c r="O29" s="58"/>
      <c r="P29" s="58"/>
    </row>
    <row r="30" spans="2:16" ht="15" thickTop="1">
      <c r="B30" s="16"/>
      <c r="C30" s="14"/>
      <c r="D30" s="12" t="s">
        <v>115</v>
      </c>
      <c r="E30" s="14"/>
      <c r="F30" s="12" t="s">
        <v>119</v>
      </c>
      <c r="G30" s="14"/>
      <c r="H30" s="52" t="s">
        <v>153</v>
      </c>
      <c r="I30" s="108"/>
      <c r="J30" s="58"/>
      <c r="K30" s="58"/>
      <c r="L30" s="58"/>
      <c r="M30" s="58"/>
      <c r="N30" s="58"/>
      <c r="O30" s="58"/>
      <c r="P30" s="58"/>
    </row>
    <row r="31" spans="2:16">
      <c r="B31" s="27"/>
      <c r="C31" s="46"/>
      <c r="D31" s="80" t="s">
        <v>2</v>
      </c>
      <c r="E31" s="81">
        <f>1000000000000/(4*PI()^2*E80^2*E32*0.000001)</f>
        <v>82.530869571717147</v>
      </c>
      <c r="F31" s="80" t="s">
        <v>2</v>
      </c>
      <c r="G31" s="81">
        <f>1000000000000/(4*PI()^2*H80^2*G32*0.000001)</f>
        <v>77.951786938416475</v>
      </c>
      <c r="H31" s="79" t="s">
        <v>2</v>
      </c>
      <c r="I31" s="166">
        <f>1000000000000/(4*PI()^2*K80^2*I32*0.000001)</f>
        <v>78.683041975362229</v>
      </c>
      <c r="J31" s="58"/>
      <c r="K31" s="58"/>
      <c r="L31" s="58"/>
      <c r="M31" s="58"/>
      <c r="N31" s="58"/>
      <c r="O31" s="58"/>
      <c r="P31" s="58"/>
    </row>
    <row r="32" spans="2:16">
      <c r="B32" s="27"/>
      <c r="C32" s="46"/>
      <c r="D32" s="86" t="s">
        <v>22</v>
      </c>
      <c r="E32" s="83">
        <f>(1.0163)*E73</f>
        <v>1.6174916884911859</v>
      </c>
      <c r="F32" s="86" t="s">
        <v>22</v>
      </c>
      <c r="G32" s="85">
        <f>1.076*E73</f>
        <v>1.7125071896256185</v>
      </c>
      <c r="H32" s="86" t="s">
        <v>22</v>
      </c>
      <c r="I32" s="87">
        <f>1.066*E73</f>
        <v>1.6965916952982429</v>
      </c>
      <c r="J32" s="58"/>
      <c r="K32" s="58"/>
      <c r="L32" s="58"/>
      <c r="M32" s="58"/>
      <c r="N32" s="58"/>
      <c r="O32" s="58"/>
      <c r="P32" s="58"/>
    </row>
    <row r="33" spans="2:16">
      <c r="B33" s="27"/>
      <c r="C33" s="46"/>
      <c r="D33" s="86" t="s">
        <v>104</v>
      </c>
      <c r="E33" s="88">
        <f>1000000000000/(4*PI()^2*E87^2*E34*0.000001)</f>
        <v>512.22996096084262</v>
      </c>
      <c r="F33" s="86" t="s">
        <v>104</v>
      </c>
      <c r="G33" s="90">
        <f>1000000000000/(4*PI()^2*H87^2*G34*0.000001)</f>
        <v>257.73777694400513</v>
      </c>
      <c r="H33" s="86" t="s">
        <v>104</v>
      </c>
      <c r="I33" s="92">
        <f>1000000000000/(4*PI()^2*(M17*1000000)^2*I34*0.000001)</f>
        <v>183.84313792016806</v>
      </c>
      <c r="J33" s="58"/>
      <c r="K33" s="58"/>
      <c r="L33" s="58"/>
      <c r="M33" s="58"/>
      <c r="N33" s="58"/>
      <c r="O33" s="58"/>
      <c r="P33" s="58"/>
    </row>
    <row r="34" spans="2:16">
      <c r="B34" s="27"/>
      <c r="C34" s="46"/>
      <c r="D34" s="86" t="s">
        <v>105</v>
      </c>
      <c r="E34" s="83">
        <f>(0.0163*E73*E89)</f>
        <v>2.8810125226379865E-2</v>
      </c>
      <c r="F34" s="86" t="s">
        <v>105</v>
      </c>
      <c r="G34" s="85">
        <f>0.08396*E73*H89</f>
        <v>0.18008852190233707</v>
      </c>
      <c r="H34" s="86" t="s">
        <v>105</v>
      </c>
      <c r="I34" s="87">
        <f>0.1373*E73*K89</f>
        <v>0.31259072431067864</v>
      </c>
      <c r="J34" s="58"/>
      <c r="K34" s="58"/>
      <c r="L34" s="58"/>
      <c r="M34" s="58"/>
      <c r="N34" s="58"/>
      <c r="O34" s="58"/>
      <c r="P34" s="58"/>
    </row>
    <row r="35" spans="2:16">
      <c r="B35" s="27"/>
      <c r="C35" s="46"/>
      <c r="D35" s="86" t="s">
        <v>106</v>
      </c>
      <c r="E35" s="88">
        <f>1000000000000/(4*PI()^2*E88^2*0.000001*E36)</f>
        <v>4633.5444406180632</v>
      </c>
      <c r="F35" s="86" t="s">
        <v>106</v>
      </c>
      <c r="G35" s="90">
        <f>1000000000000/(4*PI()^2*H88^2*G36*0.000001)</f>
        <v>741.26320859358589</v>
      </c>
      <c r="H35" s="86" t="s">
        <v>106</v>
      </c>
      <c r="I35" s="92">
        <f>1000000000000/(4*PI()^2*(M18*1000000)^2*I36*0.000001)</f>
        <v>427.05360458337253</v>
      </c>
      <c r="J35" s="58"/>
      <c r="K35" s="58"/>
      <c r="L35" s="58"/>
      <c r="M35" s="58"/>
      <c r="N35" s="58"/>
      <c r="O35" s="58"/>
      <c r="P35" s="58"/>
    </row>
    <row r="36" spans="2:16">
      <c r="B36" s="27"/>
      <c r="C36" s="46"/>
      <c r="D36" s="86" t="s">
        <v>107</v>
      </c>
      <c r="E36" s="83">
        <f>0.0163*E73*E90</f>
        <v>0.26061145530377805</v>
      </c>
      <c r="F36" s="86" t="s">
        <v>107</v>
      </c>
      <c r="G36" s="85">
        <f>0.08396*E73*H90</f>
        <v>0.51794113055147761</v>
      </c>
      <c r="H36" s="86" t="s">
        <v>107</v>
      </c>
      <c r="I36" s="87">
        <f>0.1373*E73*K90</f>
        <v>0.72612444003305976</v>
      </c>
      <c r="J36" s="58"/>
      <c r="K36" s="58"/>
      <c r="L36" s="58"/>
      <c r="M36" s="58"/>
      <c r="N36" s="58"/>
      <c r="O36" s="58"/>
      <c r="P36" s="58"/>
    </row>
    <row r="37" spans="2:16">
      <c r="B37" s="27"/>
      <c r="C37" s="46"/>
      <c r="D37" s="86" t="s">
        <v>4</v>
      </c>
      <c r="E37" s="88">
        <f>1000000000000/(4*PI()^2*E80^2*0.000001*E38)</f>
        <v>82.530869571717147</v>
      </c>
      <c r="F37" s="86" t="s">
        <v>4</v>
      </c>
      <c r="G37" s="90">
        <f>1000000000000/(4*PI()^2*H80^2*G38*0.000001)</f>
        <v>47.468094366573936</v>
      </c>
      <c r="H37" s="86" t="s">
        <v>4</v>
      </c>
      <c r="I37" s="92">
        <f>1000000000000/(4*PI()^2*K80^2*I38*0.000001)</f>
        <v>54.009093847866154</v>
      </c>
      <c r="J37" s="58"/>
      <c r="K37" s="58"/>
      <c r="L37" s="58"/>
      <c r="M37" s="58"/>
      <c r="N37" s="58"/>
      <c r="O37" s="58"/>
      <c r="P37" s="58"/>
    </row>
    <row r="38" spans="2:16">
      <c r="B38" s="27"/>
      <c r="C38" s="46"/>
      <c r="D38" s="97" t="s">
        <v>24</v>
      </c>
      <c r="E38" s="105">
        <f>E32</f>
        <v>1.6174916884911859</v>
      </c>
      <c r="F38" s="86" t="s">
        <v>24</v>
      </c>
      <c r="G38" s="85">
        <f>(1.767)*E73</f>
        <v>2.8122678476472749</v>
      </c>
      <c r="H38" s="86" t="s">
        <v>24</v>
      </c>
      <c r="I38" s="87">
        <f>1.553*E73</f>
        <v>2.4716762690414362</v>
      </c>
      <c r="J38" s="58"/>
      <c r="K38" s="58"/>
      <c r="L38" s="58"/>
      <c r="M38" s="58"/>
      <c r="N38" s="58"/>
      <c r="O38" s="58"/>
      <c r="P38" s="58"/>
    </row>
    <row r="39" spans="2:16">
      <c r="B39" s="27"/>
      <c r="C39" s="46"/>
      <c r="D39" s="46"/>
      <c r="E39" s="46"/>
      <c r="F39" s="86" t="s">
        <v>120</v>
      </c>
      <c r="G39" s="90">
        <f>1000000000000/(4*PI()^2*H92^2*G40*0.000001)</f>
        <v>120.0783597825102</v>
      </c>
      <c r="H39" s="86" t="s">
        <v>120</v>
      </c>
      <c r="I39" s="92">
        <f>1000000000000/(4*PI()^2*(M19*1000000)^2*I40*0.000001)</f>
        <v>47.888087837378279</v>
      </c>
      <c r="J39" s="58"/>
      <c r="K39" s="58"/>
      <c r="L39" s="58"/>
      <c r="M39" s="58"/>
      <c r="N39" s="58"/>
      <c r="O39" s="58"/>
      <c r="P39" s="58"/>
    </row>
    <row r="40" spans="2:16">
      <c r="B40" s="27"/>
      <c r="C40" s="46"/>
      <c r="D40" s="46"/>
      <c r="E40" s="46"/>
      <c r="F40" s="86" t="s">
        <v>121</v>
      </c>
      <c r="G40" s="85">
        <f>0.2317*E73*H94</f>
        <v>0.5517955079632999</v>
      </c>
      <c r="H40" s="86" t="s">
        <v>121</v>
      </c>
      <c r="I40" s="87">
        <f>0.6789*E73*K94</f>
        <v>1.764403217961932</v>
      </c>
      <c r="J40" s="58"/>
      <c r="K40" s="58"/>
      <c r="L40" s="58"/>
      <c r="M40" s="58"/>
      <c r="N40" s="58"/>
      <c r="O40" s="58"/>
      <c r="P40" s="58"/>
    </row>
    <row r="41" spans="2:16">
      <c r="B41" s="27"/>
      <c r="C41" s="46"/>
      <c r="D41" s="46"/>
      <c r="E41" s="46"/>
      <c r="F41" s="86" t="s">
        <v>122</v>
      </c>
      <c r="G41" s="90">
        <f>1000000000000/(4*PI()^2*H93^2*G42*0.000001)</f>
        <v>241.9247595344348</v>
      </c>
      <c r="H41" s="86" t="s">
        <v>122</v>
      </c>
      <c r="I41" s="92">
        <f>1000000000000/(4*PI()^2*(M20*1000000)^2*I42*0.000001)</f>
        <v>75.659007089321022</v>
      </c>
      <c r="J41" s="58"/>
      <c r="K41" s="58"/>
      <c r="L41" s="58"/>
      <c r="M41" s="58"/>
      <c r="N41" s="58"/>
      <c r="O41" s="58"/>
      <c r="P41" s="58"/>
    </row>
    <row r="42" spans="2:16">
      <c r="B42" s="27"/>
      <c r="C42" s="46"/>
      <c r="D42" s="46"/>
      <c r="E42" s="46"/>
      <c r="F42" s="86" t="s">
        <v>123</v>
      </c>
      <c r="G42" s="85">
        <f>0.2317*E73*H95</f>
        <v>1.1117156814765743</v>
      </c>
      <c r="H42" s="86" t="s">
        <v>123</v>
      </c>
      <c r="I42" s="87">
        <f>0.6789*E73*K95</f>
        <v>2.7876033812318317</v>
      </c>
      <c r="J42" s="58"/>
      <c r="K42" s="58"/>
      <c r="L42" s="58"/>
      <c r="M42" s="58"/>
      <c r="N42" s="58"/>
      <c r="O42" s="58"/>
      <c r="P42" s="58"/>
    </row>
    <row r="43" spans="2:16">
      <c r="B43" s="27"/>
      <c r="C43" s="46"/>
      <c r="D43" s="46"/>
      <c r="E43" s="46"/>
      <c r="F43" s="86" t="s">
        <v>8</v>
      </c>
      <c r="G43" s="90">
        <f>1000000000000/(4*PI()^2*H80^2*G44*0.000001)</f>
        <v>88.207090909387034</v>
      </c>
      <c r="H43" s="86" t="s">
        <v>8</v>
      </c>
      <c r="I43" s="92">
        <f>1000000000000/(4*PI()^2*K80^2*I44*0.000001)</f>
        <v>61.000816542353554</v>
      </c>
      <c r="J43" s="58"/>
      <c r="K43" s="58"/>
      <c r="L43" s="58"/>
      <c r="M43" s="58"/>
      <c r="N43" s="58"/>
      <c r="O43" s="58"/>
      <c r="P43" s="58"/>
    </row>
    <row r="44" spans="2:16">
      <c r="B44" s="27"/>
      <c r="C44" s="46"/>
      <c r="D44" s="46"/>
      <c r="E44" s="46"/>
      <c r="F44" s="95" t="s">
        <v>26</v>
      </c>
      <c r="G44" s="96">
        <f>(0.9509)*E73</f>
        <v>1.5134043555901493</v>
      </c>
      <c r="H44" s="91" t="s">
        <v>26</v>
      </c>
      <c r="I44" s="87">
        <f>1.375*E73</f>
        <v>2.1883804700141498</v>
      </c>
      <c r="J44" s="58"/>
      <c r="K44" s="58"/>
      <c r="L44" s="58"/>
      <c r="M44" s="58"/>
      <c r="N44" s="58"/>
      <c r="O44" s="58"/>
      <c r="P44" s="58"/>
    </row>
    <row r="45" spans="2:16">
      <c r="B45" s="27"/>
      <c r="C45" s="46"/>
      <c r="D45" s="46"/>
      <c r="E45" s="46"/>
      <c r="F45" s="48"/>
      <c r="G45" s="48"/>
      <c r="H45" s="86" t="s">
        <v>147</v>
      </c>
      <c r="I45" s="92">
        <f>1000000000000/(4*PI()^2*(M21*1000000)^2*I46*0.000001)</f>
        <v>63.331672113734385</v>
      </c>
      <c r="J45" s="58"/>
      <c r="K45" s="58"/>
      <c r="L45" s="58"/>
      <c r="M45" s="58"/>
      <c r="N45" s="58"/>
      <c r="O45" s="58"/>
      <c r="P45" s="58"/>
    </row>
    <row r="46" spans="2:16">
      <c r="B46" s="27"/>
      <c r="C46" s="46"/>
      <c r="D46" s="46"/>
      <c r="E46" s="46"/>
      <c r="F46" s="46"/>
      <c r="G46" s="46"/>
      <c r="H46" s="86" t="s">
        <v>148</v>
      </c>
      <c r="I46" s="87">
        <f>0.4914*E73*K100</f>
        <v>1.2434562371551405</v>
      </c>
      <c r="J46" s="58"/>
      <c r="K46" s="58"/>
      <c r="L46" s="58"/>
      <c r="M46" s="58"/>
      <c r="N46" s="58"/>
      <c r="O46" s="58"/>
      <c r="P46" s="58"/>
    </row>
    <row r="47" spans="2:16">
      <c r="B47" s="27"/>
      <c r="C47" s="46"/>
      <c r="D47" s="46"/>
      <c r="E47" s="46"/>
      <c r="F47" s="46"/>
      <c r="G47" s="46"/>
      <c r="H47" s="86" t="s">
        <v>149</v>
      </c>
      <c r="I47" s="92">
        <f>1000000000000/(4*PI()^2*(M22*1000000)^2*I48*0.000001)</f>
        <v>107.35640836191912</v>
      </c>
      <c r="J47" s="58"/>
      <c r="K47" s="58"/>
      <c r="L47" s="58"/>
      <c r="M47" s="58"/>
      <c r="N47" s="58"/>
      <c r="O47" s="58"/>
      <c r="P47" s="58"/>
    </row>
    <row r="48" spans="2:16">
      <c r="B48" s="27"/>
      <c r="C48" s="46"/>
      <c r="D48" s="46"/>
      <c r="E48" s="46"/>
      <c r="F48" s="46"/>
      <c r="G48" s="167"/>
      <c r="H48" s="84" t="s">
        <v>150</v>
      </c>
      <c r="I48" s="87">
        <f>0.4914*E73*K101</f>
        <v>2.1078394288479987</v>
      </c>
      <c r="J48" s="58"/>
      <c r="K48" s="58"/>
      <c r="L48" s="58"/>
      <c r="M48" s="58"/>
      <c r="N48" s="58"/>
      <c r="O48" s="58"/>
      <c r="P48" s="58"/>
    </row>
    <row r="49" spans="2:16">
      <c r="B49" s="27"/>
      <c r="C49" s="46"/>
      <c r="D49" s="46"/>
      <c r="E49" s="46"/>
      <c r="F49" s="46"/>
      <c r="G49" s="167"/>
      <c r="H49" s="84" t="s">
        <v>11</v>
      </c>
      <c r="I49" s="92">
        <f>1000000000000/(4*PI()^2*K80^2*I50*0.000001)</f>
        <v>104.03885232663872</v>
      </c>
      <c r="J49" s="58"/>
      <c r="K49" s="58"/>
      <c r="L49" s="58"/>
      <c r="M49" s="58"/>
      <c r="N49" s="58"/>
      <c r="O49" s="58"/>
      <c r="P49" s="58"/>
    </row>
    <row r="50" spans="2:16" ht="15" thickBot="1">
      <c r="B50" s="17"/>
      <c r="C50" s="33"/>
      <c r="D50" s="33"/>
      <c r="E50" s="33"/>
      <c r="F50" s="33"/>
      <c r="G50" s="168"/>
      <c r="H50" s="48" t="s">
        <v>152</v>
      </c>
      <c r="I50" s="109">
        <f>0.8062*E73</f>
        <v>1.2831071526730238</v>
      </c>
      <c r="J50" s="58"/>
      <c r="K50" s="58"/>
      <c r="L50" s="58"/>
      <c r="M50" s="58"/>
      <c r="N50" s="58"/>
      <c r="O50" s="58"/>
      <c r="P50" s="58"/>
    </row>
    <row r="51" spans="2:16" ht="15" thickTop="1">
      <c r="B51" s="58"/>
      <c r="C51" s="58"/>
      <c r="D51" s="58"/>
      <c r="E51" s="58"/>
      <c r="F51" s="58"/>
      <c r="G51" s="58"/>
      <c r="H51" s="14"/>
      <c r="I51" s="14"/>
      <c r="J51" s="58"/>
      <c r="K51" s="58"/>
      <c r="L51" s="58"/>
      <c r="M51" s="58"/>
      <c r="N51" s="58"/>
      <c r="O51" s="58"/>
      <c r="P51" s="58"/>
    </row>
    <row r="52" spans="2:16">
      <c r="B52" s="58"/>
      <c r="C52" s="58"/>
      <c r="D52" s="58"/>
      <c r="E52" s="58"/>
      <c r="F52" s="58"/>
      <c r="G52" s="58"/>
      <c r="H52" s="46"/>
      <c r="I52" s="46"/>
      <c r="J52" s="58"/>
      <c r="K52" s="58"/>
      <c r="L52" s="58"/>
      <c r="M52" s="58"/>
      <c r="N52" s="58"/>
      <c r="O52" s="58"/>
      <c r="P52" s="58"/>
    </row>
    <row r="53" spans="2:16">
      <c r="B53" s="58"/>
      <c r="C53" s="58"/>
      <c r="D53" s="58"/>
      <c r="E53" s="58"/>
      <c r="F53" s="58"/>
      <c r="G53" s="58"/>
      <c r="H53" s="46"/>
      <c r="I53" s="46"/>
      <c r="J53" s="58"/>
      <c r="K53" s="58"/>
      <c r="L53" s="58"/>
      <c r="M53" s="58"/>
      <c r="N53" s="58"/>
      <c r="O53" s="58"/>
      <c r="P53" s="58"/>
    </row>
    <row r="54" spans="2:16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</row>
    <row r="55" spans="2:16"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</row>
    <row r="56" spans="2:16"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</row>
    <row r="57" spans="2:16"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</row>
    <row r="58" spans="2:16"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</row>
    <row r="71" spans="3:12" ht="15" thickBot="1"/>
    <row r="72" spans="3:12" ht="15" thickTop="1">
      <c r="D72" s="69" t="s">
        <v>110</v>
      </c>
      <c r="E72" s="70">
        <f>1000000000000*E81*E82</f>
        <v>636.61977309502561</v>
      </c>
    </row>
    <row r="73" spans="3:12" ht="15" thickBot="1">
      <c r="D73" s="144" t="s">
        <v>99</v>
      </c>
      <c r="E73" s="101">
        <f>E83*E81*1000000</f>
        <v>1.5915494327375637</v>
      </c>
    </row>
    <row r="74" spans="3:12" ht="15" thickTop="1"/>
    <row r="75" spans="3:12">
      <c r="C75" s="58"/>
      <c r="D75" s="51" t="s">
        <v>130</v>
      </c>
      <c r="E75" s="181"/>
      <c r="F75" s="58"/>
      <c r="G75" s="51" t="s">
        <v>131</v>
      </c>
      <c r="H75" s="181"/>
      <c r="I75" s="58"/>
      <c r="J75" s="51" t="s">
        <v>63</v>
      </c>
      <c r="K75" s="181"/>
      <c r="L75" s="58"/>
    </row>
    <row r="76" spans="3:12">
      <c r="C76" s="58"/>
      <c r="D76" s="79" t="s">
        <v>47</v>
      </c>
      <c r="E76" s="182">
        <f>F5*1000000</f>
        <v>14000000</v>
      </c>
      <c r="F76" s="58"/>
      <c r="G76" s="79" t="s">
        <v>47</v>
      </c>
      <c r="H76" s="182">
        <f>E76</f>
        <v>14000000</v>
      </c>
      <c r="I76" s="58"/>
      <c r="J76" s="80" t="s">
        <v>47</v>
      </c>
      <c r="K76" s="183">
        <f t="shared" ref="K76:K83" si="0">E76</f>
        <v>14000000</v>
      </c>
      <c r="L76" s="58"/>
    </row>
    <row r="77" spans="3:12">
      <c r="C77" s="58"/>
      <c r="D77" s="86" t="s">
        <v>48</v>
      </c>
      <c r="E77" s="184">
        <f>1000000*F6</f>
        <v>5000000</v>
      </c>
      <c r="F77" s="58"/>
      <c r="G77" s="86" t="s">
        <v>48</v>
      </c>
      <c r="H77" s="184">
        <f>E77</f>
        <v>5000000</v>
      </c>
      <c r="I77" s="58"/>
      <c r="J77" s="86" t="s">
        <v>48</v>
      </c>
      <c r="K77" s="184">
        <f t="shared" si="0"/>
        <v>5000000</v>
      </c>
      <c r="L77" s="58"/>
    </row>
    <row r="78" spans="3:12">
      <c r="C78" s="58"/>
      <c r="D78" s="86" t="s">
        <v>50</v>
      </c>
      <c r="E78" s="184">
        <f>E76+E77/2</f>
        <v>16500000</v>
      </c>
      <c r="F78" s="58"/>
      <c r="G78" s="86" t="s">
        <v>50</v>
      </c>
      <c r="H78" s="184">
        <f>H76+H77/2</f>
        <v>16500000</v>
      </c>
      <c r="I78" s="58"/>
      <c r="J78" s="86" t="s">
        <v>50</v>
      </c>
      <c r="K78" s="184">
        <f t="shared" si="0"/>
        <v>16500000</v>
      </c>
      <c r="L78" s="58"/>
    </row>
    <row r="79" spans="3:12">
      <c r="C79" s="58"/>
      <c r="D79" s="86" t="s">
        <v>51</v>
      </c>
      <c r="E79" s="184">
        <f>E76-E77/2</f>
        <v>11500000</v>
      </c>
      <c r="F79" s="58"/>
      <c r="G79" s="86" t="s">
        <v>51</v>
      </c>
      <c r="H79" s="184">
        <f>H76-H77/2</f>
        <v>11500000</v>
      </c>
      <c r="I79" s="58"/>
      <c r="J79" s="86" t="s">
        <v>51</v>
      </c>
      <c r="K79" s="184">
        <f t="shared" si="0"/>
        <v>11500000</v>
      </c>
      <c r="L79" s="58"/>
    </row>
    <row r="80" spans="3:12">
      <c r="C80" s="58"/>
      <c r="D80" s="86" t="s">
        <v>137</v>
      </c>
      <c r="E80" s="184">
        <f>(E78*E79)^0.5</f>
        <v>13774977.313955911</v>
      </c>
      <c r="F80" s="58"/>
      <c r="G80" s="86" t="s">
        <v>137</v>
      </c>
      <c r="H80" s="184">
        <f>(H78*H79)^0.5</f>
        <v>13774977.313955911</v>
      </c>
      <c r="I80" s="58"/>
      <c r="J80" s="86" t="s">
        <v>137</v>
      </c>
      <c r="K80" s="184">
        <f t="shared" si="0"/>
        <v>13774977.313955911</v>
      </c>
      <c r="L80" s="58"/>
    </row>
    <row r="81" spans="3:12">
      <c r="C81" s="58"/>
      <c r="D81" s="86" t="s">
        <v>53</v>
      </c>
      <c r="E81" s="184">
        <f>E80/(E78-E79)</f>
        <v>2.7549954627911819</v>
      </c>
      <c r="F81" s="58"/>
      <c r="G81" s="86" t="s">
        <v>53</v>
      </c>
      <c r="H81" s="184">
        <f>H80/(H78-H79)</f>
        <v>2.7549954627911819</v>
      </c>
      <c r="I81" s="58"/>
      <c r="J81" s="86" t="s">
        <v>53</v>
      </c>
      <c r="K81" s="184">
        <f t="shared" si="0"/>
        <v>2.7549954627911819</v>
      </c>
      <c r="L81" s="58"/>
    </row>
    <row r="82" spans="3:12">
      <c r="C82" s="58"/>
      <c r="D82" s="86" t="s">
        <v>108</v>
      </c>
      <c r="E82" s="184">
        <f>1/(2*3.14159265*E80*F4)</f>
        <v>2.3107833812911033E-10</v>
      </c>
      <c r="F82" s="58"/>
      <c r="G82" s="86" t="s">
        <v>108</v>
      </c>
      <c r="H82" s="184">
        <f>E82</f>
        <v>2.3107833812911033E-10</v>
      </c>
      <c r="I82" s="58"/>
      <c r="J82" s="86" t="s">
        <v>108</v>
      </c>
      <c r="K82" s="184">
        <f t="shared" si="0"/>
        <v>2.3107833812911033E-10</v>
      </c>
      <c r="L82" s="58"/>
    </row>
    <row r="83" spans="3:12">
      <c r="C83" s="58"/>
      <c r="D83" s="86" t="s">
        <v>109</v>
      </c>
      <c r="E83" s="184">
        <f>F4/(2*3.14159265*E80)</f>
        <v>5.7769584532277583E-7</v>
      </c>
      <c r="F83" s="58"/>
      <c r="G83" s="86" t="s">
        <v>109</v>
      </c>
      <c r="H83" s="184">
        <f>E83</f>
        <v>5.7769584532277583E-7</v>
      </c>
      <c r="I83" s="58"/>
      <c r="J83" s="86" t="s">
        <v>109</v>
      </c>
      <c r="K83" s="184">
        <f t="shared" si="0"/>
        <v>5.7769584532277583E-7</v>
      </c>
      <c r="L83" s="58"/>
    </row>
    <row r="84" spans="3:12">
      <c r="C84" s="58"/>
      <c r="D84" s="86" t="s">
        <v>61</v>
      </c>
      <c r="E84" s="184">
        <f>(4*3.14159265^2*(E80)^2)</f>
        <v>7491029723307325</v>
      </c>
      <c r="F84" s="58"/>
      <c r="G84" s="86" t="s">
        <v>111</v>
      </c>
      <c r="H84" s="184">
        <v>3.0476489999999998</v>
      </c>
      <c r="I84" s="58"/>
      <c r="J84" s="86" t="s">
        <v>111</v>
      </c>
      <c r="K84" s="184">
        <v>2.3913229999999999</v>
      </c>
      <c r="L84" s="58"/>
    </row>
    <row r="85" spans="3:12">
      <c r="C85" s="58"/>
      <c r="D85" s="86" t="s">
        <v>111</v>
      </c>
      <c r="E85" s="83">
        <f>7.37</f>
        <v>7.37</v>
      </c>
      <c r="F85" s="58"/>
      <c r="G85" s="86" t="s">
        <v>129</v>
      </c>
      <c r="H85" s="184">
        <v>1.9695229999999999</v>
      </c>
      <c r="I85" s="58"/>
      <c r="J85" s="86" t="s">
        <v>129</v>
      </c>
      <c r="K85" s="184">
        <v>1.2710630000000001</v>
      </c>
      <c r="L85" s="58"/>
    </row>
    <row r="86" spans="3:12">
      <c r="C86" s="58"/>
      <c r="D86" s="86" t="s">
        <v>112</v>
      </c>
      <c r="E86" s="184">
        <f>E77*E85</f>
        <v>36850000</v>
      </c>
      <c r="F86" s="58"/>
      <c r="G86" s="86" t="s">
        <v>112</v>
      </c>
      <c r="H86" s="184">
        <f>E77*H84</f>
        <v>15238245</v>
      </c>
      <c r="I86" s="58"/>
      <c r="J86" s="86" t="s">
        <v>112</v>
      </c>
      <c r="K86" s="184">
        <f>K84*E77</f>
        <v>11956615</v>
      </c>
      <c r="L86" s="58"/>
    </row>
    <row r="87" spans="3:12">
      <c r="C87" s="58"/>
      <c r="D87" s="86" t="s">
        <v>113</v>
      </c>
      <c r="E87" s="184">
        <f>(E80^2+(E86/2)^2)^0.5+E86/2</f>
        <v>41430013.040639639</v>
      </c>
      <c r="F87" s="58"/>
      <c r="G87" s="86" t="s">
        <v>113</v>
      </c>
      <c r="H87" s="184">
        <f>(E80^2+(H86/2)^2)^0.5+H86/2</f>
        <v>23360819.602600031</v>
      </c>
      <c r="I87" s="58"/>
      <c r="J87" s="86" t="s">
        <v>113</v>
      </c>
      <c r="K87" s="184">
        <f>(E80^2+(K86/2)^2)^0.5+K86/2</f>
        <v>20994637.296743155</v>
      </c>
      <c r="L87" s="58"/>
    </row>
    <row r="88" spans="3:12">
      <c r="C88" s="58"/>
      <c r="D88" s="86" t="s">
        <v>114</v>
      </c>
      <c r="E88" s="184">
        <f>(E80^2+(E86/2)^2)^0.5-E86/2</f>
        <v>4580013.0406396426</v>
      </c>
      <c r="F88" s="58"/>
      <c r="G88" s="86" t="s">
        <v>114</v>
      </c>
      <c r="H88" s="184">
        <f>(E80^2+(H86/2)^2)^0.5-H86/2</f>
        <v>8122574.6026000325</v>
      </c>
      <c r="I88" s="58"/>
      <c r="J88" s="86" t="s">
        <v>114</v>
      </c>
      <c r="K88" s="184">
        <f>(E80^2+(K86/2)^2)^0.5-K86/2</f>
        <v>9038022.2967431527</v>
      </c>
      <c r="L88" s="58"/>
    </row>
    <row r="89" spans="3:12">
      <c r="C89" s="58"/>
      <c r="D89" s="185" t="s">
        <v>132</v>
      </c>
      <c r="E89" s="184">
        <f>1+(E80/E87)^2</f>
        <v>1.1105481921076636</v>
      </c>
      <c r="F89" s="58"/>
      <c r="G89" s="86" t="s">
        <v>132</v>
      </c>
      <c r="H89" s="184">
        <f>1+(E80/H87)^2</f>
        <v>1.3477007545444168</v>
      </c>
      <c r="I89" s="58"/>
      <c r="J89" s="86" t="s">
        <v>132</v>
      </c>
      <c r="K89" s="184">
        <f>1+(K80/K87)^2</f>
        <v>1.430491947491048</v>
      </c>
      <c r="L89" s="58"/>
    </row>
    <row r="90" spans="3:12">
      <c r="C90" s="58"/>
      <c r="D90" s="186" t="s">
        <v>133</v>
      </c>
      <c r="E90" s="187">
        <f>1+(E80/E88)^2</f>
        <v>10.045828619486537</v>
      </c>
      <c r="F90" s="58"/>
      <c r="G90" s="86" t="s">
        <v>133</v>
      </c>
      <c r="H90" s="184">
        <f>1+(E80/H88)^2</f>
        <v>3.8760363241381914</v>
      </c>
      <c r="I90" s="58"/>
      <c r="J90" s="86" t="s">
        <v>133</v>
      </c>
      <c r="K90" s="184">
        <f>1+(K80/K88)^2</f>
        <v>3.3229238219857633</v>
      </c>
      <c r="L90" s="58"/>
    </row>
    <row r="91" spans="3:12">
      <c r="C91" s="58"/>
      <c r="D91" s="58"/>
      <c r="E91" s="58"/>
      <c r="F91" s="58"/>
      <c r="G91" s="86" t="s">
        <v>126</v>
      </c>
      <c r="H91" s="184">
        <f>H85*E77</f>
        <v>9847615</v>
      </c>
      <c r="I91" s="58"/>
      <c r="J91" s="86" t="s">
        <v>126</v>
      </c>
      <c r="K91" s="184">
        <f>K85*E77</f>
        <v>6355315</v>
      </c>
      <c r="L91" s="58"/>
    </row>
    <row r="92" spans="3:12">
      <c r="C92" s="58"/>
      <c r="D92" s="58"/>
      <c r="E92" s="58"/>
      <c r="F92" s="58"/>
      <c r="G92" s="86" t="s">
        <v>127</v>
      </c>
      <c r="H92" s="184">
        <f>(E80^2+(H91/2)^2)^0.5+H91/2</f>
        <v>19552337.169691902</v>
      </c>
      <c r="I92" s="58"/>
      <c r="J92" s="86" t="s">
        <v>127</v>
      </c>
      <c r="K92" s="184">
        <f>(E80^2+(K91/2)^2)^0.5+K91/2</f>
        <v>17314400.660548195</v>
      </c>
      <c r="L92" s="58"/>
    </row>
    <row r="93" spans="3:12">
      <c r="C93" s="58"/>
      <c r="D93" s="58"/>
      <c r="E93" s="58"/>
      <c r="F93" s="58"/>
      <c r="G93" s="86" t="s">
        <v>128</v>
      </c>
      <c r="H93" s="184">
        <f>(E80^2+(H91/2)^2)^0.5-H91/2</f>
        <v>9704722.1696919017</v>
      </c>
      <c r="I93" s="58"/>
      <c r="J93" s="86" t="s">
        <v>128</v>
      </c>
      <c r="K93" s="184">
        <f>(E80^2+(K91/2)^2)^0.5-K91/2</f>
        <v>10959085.660548197</v>
      </c>
      <c r="L93" s="58"/>
    </row>
    <row r="94" spans="3:12">
      <c r="C94" s="58"/>
      <c r="D94" s="58"/>
      <c r="E94" s="58"/>
      <c r="F94" s="58"/>
      <c r="G94" s="86" t="s">
        <v>134</v>
      </c>
      <c r="H94" s="184">
        <f>1+(E80/H92)^2</f>
        <v>1.4963458887531462</v>
      </c>
      <c r="I94" s="58"/>
      <c r="J94" s="86" t="s">
        <v>134</v>
      </c>
      <c r="K94" s="184">
        <f>1+(K80/K92)^2</f>
        <v>1.6329462899353526</v>
      </c>
      <c r="L94" s="58"/>
    </row>
    <row r="95" spans="3:12">
      <c r="C95" s="58"/>
      <c r="D95" s="58"/>
      <c r="E95" s="58"/>
      <c r="F95" s="58"/>
      <c r="G95" s="97" t="s">
        <v>135</v>
      </c>
      <c r="H95" s="187">
        <f>1+(E80/H93)^2</f>
        <v>3.014724051632756</v>
      </c>
      <c r="I95" s="58"/>
      <c r="J95" s="86" t="s">
        <v>135</v>
      </c>
      <c r="K95" s="184">
        <f>1+(K80/K93)^2</f>
        <v>2.5799128866086529</v>
      </c>
      <c r="L95" s="58"/>
    </row>
    <row r="96" spans="3:12">
      <c r="C96" s="58"/>
      <c r="D96" s="177"/>
      <c r="E96" s="177"/>
      <c r="F96" s="58"/>
      <c r="G96" s="58"/>
      <c r="H96" s="58"/>
      <c r="I96" s="58"/>
      <c r="J96" s="86" t="s">
        <v>154</v>
      </c>
      <c r="K96" s="184">
        <v>1.470934</v>
      </c>
      <c r="L96" s="58"/>
    </row>
    <row r="97" spans="3:12">
      <c r="C97" s="58"/>
      <c r="D97" s="177"/>
      <c r="E97" s="177"/>
      <c r="F97" s="58"/>
      <c r="G97" s="58"/>
      <c r="H97" s="58"/>
      <c r="I97" s="58"/>
      <c r="J97" s="86" t="s">
        <v>155</v>
      </c>
      <c r="K97" s="184">
        <f>K96*E77</f>
        <v>7354670</v>
      </c>
      <c r="L97" s="58"/>
    </row>
    <row r="98" spans="3:12">
      <c r="C98" s="58"/>
      <c r="D98" s="58"/>
      <c r="E98" s="177"/>
      <c r="F98" s="58"/>
      <c r="G98" s="58"/>
      <c r="H98" s="58"/>
      <c r="I98" s="58"/>
      <c r="J98" s="86" t="s">
        <v>156</v>
      </c>
      <c r="K98" s="184">
        <f>(E80^2+(K97/2)^2)^0.5+K97/2</f>
        <v>17934711.781940814</v>
      </c>
      <c r="L98" s="58"/>
    </row>
    <row r="99" spans="3:12">
      <c r="C99" s="58"/>
      <c r="D99" s="58"/>
      <c r="E99" s="58"/>
      <c r="F99" s="58"/>
      <c r="G99" s="58"/>
      <c r="H99" s="58"/>
      <c r="I99" s="58"/>
      <c r="J99" s="86" t="s">
        <v>157</v>
      </c>
      <c r="K99" s="184">
        <f>(E80^2+(K97/2)^2)^0.5-K97/2</f>
        <v>10580041.781940814</v>
      </c>
      <c r="L99" s="58"/>
    </row>
    <row r="100" spans="3:12">
      <c r="C100" s="58"/>
      <c r="D100" s="58"/>
      <c r="E100" s="58"/>
      <c r="F100" s="58"/>
      <c r="G100" s="58"/>
      <c r="H100" s="58"/>
      <c r="I100" s="58"/>
      <c r="J100" s="86" t="s">
        <v>158</v>
      </c>
      <c r="K100" s="184">
        <f>1+(K80/K98)^2</f>
        <v>1.5899198108438122</v>
      </c>
      <c r="L100" s="58"/>
    </row>
    <row r="101" spans="3:12">
      <c r="C101" s="58"/>
      <c r="D101" s="58"/>
      <c r="E101" s="58"/>
      <c r="F101" s="58"/>
      <c r="G101" s="58"/>
      <c r="H101" s="58"/>
      <c r="I101" s="58"/>
      <c r="J101" s="147" t="s">
        <v>240</v>
      </c>
      <c r="K101" s="188">
        <f>1+(K80/K99)^2</f>
        <v>2.6951456479646199</v>
      </c>
      <c r="L101" s="58"/>
    </row>
    <row r="102" spans="3:12">
      <c r="C102" s="58"/>
      <c r="D102" s="58"/>
      <c r="E102" s="58"/>
      <c r="F102" s="58"/>
      <c r="G102" s="58"/>
      <c r="H102" s="58"/>
      <c r="I102" s="58"/>
      <c r="J102" s="189"/>
      <c r="K102" s="189"/>
      <c r="L102" s="58"/>
    </row>
    <row r="103" spans="3:12">
      <c r="C103" s="58"/>
      <c r="D103" s="58"/>
      <c r="E103" s="58"/>
      <c r="F103" s="58"/>
      <c r="G103" s="58"/>
      <c r="H103" s="58"/>
      <c r="I103" s="58"/>
      <c r="J103" s="58"/>
      <c r="K103" s="58"/>
      <c r="L103" s="58"/>
    </row>
  </sheetData>
  <sheetProtection sheet="1" objects="1" scenarios="1"/>
  <pageMargins left="0.7" right="0.7" top="0.75" bottom="0.75" header="0.3" footer="0.3"/>
  <pageSetup orientation="portrait" horizontalDpi="4294967293" r:id="rId1"/>
  <drawing r:id="rId2"/>
  <picture r:id="rId3"/>
</worksheet>
</file>

<file path=xl/worksheets/sheet9.xml><?xml version="1.0" encoding="utf-8"?>
<worksheet xmlns="http://schemas.openxmlformats.org/spreadsheetml/2006/main" xmlns:r="http://schemas.openxmlformats.org/officeDocument/2006/relationships">
  <dimension ref="B1:T105"/>
  <sheetViews>
    <sheetView showGridLines="0" workbookViewId="0">
      <selection activeCell="I66" sqref="I66"/>
    </sheetView>
  </sheetViews>
  <sheetFormatPr defaultRowHeight="14.4"/>
  <cols>
    <col min="1" max="1" width="1.5546875" customWidth="1"/>
    <col min="2" max="2" width="1.33203125" customWidth="1"/>
    <col min="5" max="5" width="12.5546875" customWidth="1"/>
    <col min="7" max="7" width="12.88671875" customWidth="1"/>
    <col min="9" max="9" width="12.5546875" customWidth="1"/>
    <col min="11" max="11" width="12" customWidth="1"/>
    <col min="12" max="12" width="10.33203125" customWidth="1"/>
    <col min="13" max="13" width="16.109375" customWidth="1"/>
    <col min="14" max="14" width="12.44140625" customWidth="1"/>
    <col min="15" max="15" width="10.6640625" customWidth="1"/>
    <col min="17" max="17" width="11.5546875" customWidth="1"/>
    <col min="18" max="18" width="2.44140625" customWidth="1"/>
    <col min="20" max="20" width="25.88671875" customWidth="1"/>
  </cols>
  <sheetData>
    <row r="1" spans="2:20" ht="15" thickBot="1"/>
    <row r="2" spans="2:20" ht="18.600000000000001" thickTop="1">
      <c r="B2" s="58"/>
      <c r="C2" s="58"/>
      <c r="D2" s="1" t="s">
        <v>138</v>
      </c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16" t="s">
        <v>211</v>
      </c>
      <c r="T2" s="108"/>
    </row>
    <row r="3" spans="2:20" ht="15" thickBot="1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O3" s="58"/>
      <c r="P3" s="58"/>
      <c r="Q3" s="58"/>
      <c r="R3" s="58"/>
      <c r="S3" s="27" t="s">
        <v>231</v>
      </c>
      <c r="T3" s="28"/>
    </row>
    <row r="4" spans="2:20" ht="15" thickTop="1">
      <c r="B4" s="58"/>
      <c r="C4" s="16" t="s">
        <v>100</v>
      </c>
      <c r="D4" s="14"/>
      <c r="E4" s="14"/>
      <c r="F4" s="71">
        <v>200</v>
      </c>
      <c r="G4" s="58"/>
      <c r="H4" s="58"/>
      <c r="I4" s="58"/>
      <c r="J4" s="58"/>
      <c r="K4" s="58"/>
      <c r="L4" s="58"/>
      <c r="O4" s="58"/>
      <c r="P4" s="58"/>
      <c r="Q4" s="58"/>
      <c r="R4" s="58"/>
      <c r="S4" s="27" t="s">
        <v>74</v>
      </c>
      <c r="T4" s="28"/>
    </row>
    <row r="5" spans="2:20">
      <c r="B5" s="58"/>
      <c r="C5" s="31" t="s">
        <v>75</v>
      </c>
      <c r="D5" s="32"/>
      <c r="E5" s="32"/>
      <c r="F5" s="169">
        <v>21</v>
      </c>
      <c r="G5" s="58"/>
      <c r="H5" s="58"/>
      <c r="I5" s="58"/>
      <c r="J5" s="58"/>
      <c r="K5" s="58"/>
      <c r="L5" s="58"/>
      <c r="O5" s="58"/>
      <c r="P5" s="58"/>
      <c r="Q5" s="58"/>
      <c r="R5" s="58"/>
      <c r="S5" s="27" t="s">
        <v>202</v>
      </c>
      <c r="T5" s="28"/>
    </row>
    <row r="6" spans="2:20" ht="15" thickBot="1">
      <c r="B6" s="58"/>
      <c r="C6" s="17" t="s">
        <v>73</v>
      </c>
      <c r="D6" s="33"/>
      <c r="E6" s="33"/>
      <c r="F6" s="75">
        <v>8</v>
      </c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29" t="s">
        <v>96</v>
      </c>
      <c r="T6" s="28"/>
    </row>
    <row r="7" spans="2:20" ht="15.6" thickTop="1" thickBot="1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29" t="s">
        <v>97</v>
      </c>
      <c r="T7" s="28"/>
    </row>
    <row r="8" spans="2:20" ht="15" thickTop="1">
      <c r="B8" s="58"/>
      <c r="C8" s="58"/>
      <c r="D8" s="16"/>
      <c r="E8" s="13" t="s">
        <v>46</v>
      </c>
      <c r="F8" s="14"/>
      <c r="G8" s="14" t="s">
        <v>58</v>
      </c>
      <c r="H8" s="12" t="s">
        <v>60</v>
      </c>
      <c r="I8" s="13"/>
      <c r="J8" s="12" t="s">
        <v>34</v>
      </c>
      <c r="K8" s="13"/>
      <c r="L8" s="12" t="s">
        <v>63</v>
      </c>
      <c r="M8" s="14"/>
      <c r="N8" s="12" t="s">
        <v>62</v>
      </c>
      <c r="O8" s="13"/>
      <c r="P8" s="12" t="s">
        <v>64</v>
      </c>
      <c r="Q8" s="14"/>
      <c r="R8" s="27"/>
      <c r="S8" s="29" t="s">
        <v>102</v>
      </c>
      <c r="T8" s="28"/>
    </row>
    <row r="9" spans="2:20">
      <c r="B9" s="58"/>
      <c r="C9" s="58"/>
      <c r="D9" s="76" t="s">
        <v>2</v>
      </c>
      <c r="E9" s="77">
        <f>E72/1.0285</f>
        <v>96.715449242681316</v>
      </c>
      <c r="F9" s="49" t="s">
        <v>2</v>
      </c>
      <c r="G9" s="78">
        <f>0.9277^-1*E72</f>
        <v>107.22414524749136</v>
      </c>
      <c r="H9" s="79" t="s">
        <v>2</v>
      </c>
      <c r="I9" s="77">
        <f>1.144^-1*E72</f>
        <v>86.950908694141376</v>
      </c>
      <c r="J9" s="79" t="s">
        <v>2</v>
      </c>
      <c r="K9" s="77">
        <f>1.0366^-1*E72</f>
        <v>95.959714013214096</v>
      </c>
      <c r="L9" s="80" t="s">
        <v>2</v>
      </c>
      <c r="M9" s="81">
        <f>1.178^-1*E72</f>
        <v>84.441289937264628</v>
      </c>
      <c r="N9" s="79" t="s">
        <v>2</v>
      </c>
      <c r="O9" s="77">
        <f>1.0862^-1*E72</f>
        <v>91.577830552474424</v>
      </c>
      <c r="P9" s="80" t="s">
        <v>2</v>
      </c>
      <c r="Q9" s="81">
        <f>1.193^-1*E72</f>
        <v>83.379580508045024</v>
      </c>
      <c r="R9" s="27"/>
      <c r="S9" s="29" t="s">
        <v>163</v>
      </c>
      <c r="T9" s="28"/>
    </row>
    <row r="10" spans="2:20">
      <c r="B10" s="58"/>
      <c r="C10" s="58"/>
      <c r="D10" s="82" t="s">
        <v>22</v>
      </c>
      <c r="E10" s="83">
        <f>1000000/(4*E95^2*E98^2*E9*0.000000000001)</f>
        <v>0.61624794035598462</v>
      </c>
      <c r="F10" s="84" t="s">
        <v>22</v>
      </c>
      <c r="G10" s="85">
        <f>1000000/(4*E95^2*E98^2*G9*0.000000000001)</f>
        <v>0.55585144800024011</v>
      </c>
      <c r="H10" s="86" t="s">
        <v>22</v>
      </c>
      <c r="I10" s="83">
        <f>1000000/(4*E95^2*E98^2*I9*0.000000000001)</f>
        <v>0.68545225451360858</v>
      </c>
      <c r="J10" s="86" t="s">
        <v>22</v>
      </c>
      <c r="K10" s="83">
        <f>1000000/(4*E95^2*E98^2*K9*0.000000000001)</f>
        <v>0.62110122992028549</v>
      </c>
      <c r="L10" s="86" t="s">
        <v>22</v>
      </c>
      <c r="M10" s="83">
        <f>1000000/(4*E95^2*E98^2*M9*0.000000000001)</f>
        <v>0.70582408725264945</v>
      </c>
      <c r="N10" s="86" t="s">
        <v>22</v>
      </c>
      <c r="O10" s="83">
        <f>1000000/(4*E95^2*E98^2*O9*0.000000000001)</f>
        <v>0.65082013885723922</v>
      </c>
      <c r="P10" s="86" t="s">
        <v>22</v>
      </c>
      <c r="Q10" s="87">
        <f>1000000/(4*E95^2*E98^2*Q9*0.000000000001)</f>
        <v>0.71481166051987355</v>
      </c>
      <c r="R10" s="27"/>
      <c r="S10" s="55" t="s">
        <v>169</v>
      </c>
      <c r="T10" s="28"/>
    </row>
    <row r="11" spans="2:20">
      <c r="B11" s="58"/>
      <c r="C11" s="58"/>
      <c r="D11" s="82" t="s">
        <v>59</v>
      </c>
      <c r="E11" s="88">
        <f>1000000000000/(4*E95^2*E98^2*E12*0.000001)</f>
        <v>17.17824837142059</v>
      </c>
      <c r="F11" s="89" t="s">
        <v>23</v>
      </c>
      <c r="G11" s="90">
        <f>1000000000000/(4*E95^2*E98^2*G12*0.000001)</f>
        <v>21.480300108665091</v>
      </c>
      <c r="H11" s="91" t="s">
        <v>23</v>
      </c>
      <c r="I11" s="88">
        <f>1000000000000/(4*E95^2*E98^2*I12*0.000001)</f>
        <v>20.551584204385293</v>
      </c>
      <c r="J11" s="91" t="s">
        <v>23</v>
      </c>
      <c r="K11" s="88">
        <f>1000000000000/(4*E95^2*E98^2*K12*0.000001)</f>
        <v>22.708601788519026</v>
      </c>
      <c r="L11" s="91" t="s">
        <v>23</v>
      </c>
      <c r="M11" s="88">
        <f>M19</f>
        <v>21.315527932099325</v>
      </c>
      <c r="N11" s="91" t="s">
        <v>23</v>
      </c>
      <c r="O11" s="88">
        <f>1000000000000/(4*E95^2*E98^2*O12*0.000001)</f>
        <v>22.858394676306087</v>
      </c>
      <c r="P11" s="91" t="s">
        <v>23</v>
      </c>
      <c r="Q11" s="92">
        <f>1000000000000/(4*E95^2*E98^2*Q12*0.000001)</f>
        <v>21.615113707673451</v>
      </c>
      <c r="R11" s="27"/>
      <c r="S11" s="27" t="s">
        <v>176</v>
      </c>
      <c r="T11" s="28"/>
    </row>
    <row r="12" spans="2:20">
      <c r="B12" s="58"/>
      <c r="C12" s="58"/>
      <c r="D12" s="82" t="s">
        <v>3</v>
      </c>
      <c r="E12" s="83">
        <f>1.1468^-1*E73</f>
        <v>3.4695444557411141</v>
      </c>
      <c r="F12" s="89" t="s">
        <v>3</v>
      </c>
      <c r="G12" s="85">
        <f>(1/1.434)*E73</f>
        <v>2.7746677697656277</v>
      </c>
      <c r="H12" s="91" t="s">
        <v>3</v>
      </c>
      <c r="I12" s="83">
        <f>(1/1.372)*E73</f>
        <v>2.9000536310815668</v>
      </c>
      <c r="J12" s="91" t="s">
        <v>3</v>
      </c>
      <c r="K12" s="83">
        <f>(1.516^-1)*E73</f>
        <v>2.6245867954115498</v>
      </c>
      <c r="L12" s="91" t="s">
        <v>3</v>
      </c>
      <c r="M12" s="83">
        <f>(1.423^-1*E73)</f>
        <v>2.7961163610990227</v>
      </c>
      <c r="N12" s="91" t="s">
        <v>3</v>
      </c>
      <c r="O12" s="83">
        <f>(1.526^-1*E73)</f>
        <v>2.6073876683118673</v>
      </c>
      <c r="P12" s="91" t="s">
        <v>3</v>
      </c>
      <c r="Q12" s="87">
        <f>1.443^-1*E73</f>
        <v>2.7573621495799792</v>
      </c>
      <c r="R12" s="27"/>
      <c r="S12" s="27" t="s">
        <v>191</v>
      </c>
      <c r="T12" s="28"/>
    </row>
    <row r="13" spans="2:20">
      <c r="B13" s="58"/>
      <c r="C13" s="58"/>
      <c r="D13" s="82" t="s">
        <v>4</v>
      </c>
      <c r="E13" s="88">
        <f>E9</f>
        <v>96.715449242681316</v>
      </c>
      <c r="F13" s="89" t="s">
        <v>4</v>
      </c>
      <c r="G13" s="90">
        <f>1.434*E72</f>
        <v>142.64261790910413</v>
      </c>
      <c r="H13" s="91" t="s">
        <v>4</v>
      </c>
      <c r="I13" s="88">
        <f>(1.972)^-1*E72</f>
        <v>50.442109303294998</v>
      </c>
      <c r="J13" s="91" t="s">
        <v>4</v>
      </c>
      <c r="K13" s="88">
        <f>1.788^-1*E72</f>
        <v>55.633019880367854</v>
      </c>
      <c r="L13" s="91" t="s">
        <v>4</v>
      </c>
      <c r="M13" s="88">
        <f>2.094^-1*E72</f>
        <v>47.503266258881439</v>
      </c>
      <c r="N13" s="91" t="s">
        <v>4</v>
      </c>
      <c r="O13" s="88">
        <f>1.904^-1*E72</f>
        <v>52.243613206984101</v>
      </c>
      <c r="P13" s="91" t="s">
        <v>4</v>
      </c>
      <c r="Q13" s="92">
        <f>2.132^-1*E72</f>
        <v>46.656585152953902</v>
      </c>
      <c r="R13" s="27"/>
      <c r="S13" s="27" t="s">
        <v>198</v>
      </c>
      <c r="T13" s="28"/>
    </row>
    <row r="14" spans="2:20">
      <c r="B14" s="58"/>
      <c r="C14" s="58"/>
      <c r="D14" s="93" t="s">
        <v>56</v>
      </c>
      <c r="E14" s="94">
        <f>E10</f>
        <v>0.61624794035598462</v>
      </c>
      <c r="F14" s="89" t="s">
        <v>24</v>
      </c>
      <c r="G14" s="85">
        <f>1000000/(4*E95^2*E98^2*G13*0.000000000001)</f>
        <v>0.41783232297647094</v>
      </c>
      <c r="H14" s="91" t="s">
        <v>24</v>
      </c>
      <c r="I14" s="83">
        <f>1000000/(4*E95^2*E98^2*I13*0.000000000001)</f>
        <v>1.1815662988643671</v>
      </c>
      <c r="J14" s="91" t="s">
        <v>24</v>
      </c>
      <c r="K14" s="83">
        <f>1000000/(4*E95^2*E98^2*K13*0.000000000001)</f>
        <v>1.0713187334530876</v>
      </c>
      <c r="L14" s="91" t="s">
        <v>24</v>
      </c>
      <c r="M14" s="83">
        <f>1000000/(4*E95^2*E98^2*M13*0.000000000001)</f>
        <v>1.2546652281044548</v>
      </c>
      <c r="N14" s="91" t="s">
        <v>24</v>
      </c>
      <c r="O14" s="83">
        <f>1000000/(4*E95^2*E98^2*O13*0.000000000001)</f>
        <v>1.1408226333862856</v>
      </c>
      <c r="P14" s="91" t="s">
        <v>24</v>
      </c>
      <c r="Q14" s="87">
        <f>1000000/(4*E95^2*E98^2*Q13*0.000000000001)</f>
        <v>1.277433747048089</v>
      </c>
      <c r="R14" s="27"/>
      <c r="S14" s="27" t="s">
        <v>205</v>
      </c>
      <c r="T14" s="28"/>
    </row>
    <row r="15" spans="2:20" ht="15" thickBot="1">
      <c r="B15" s="58"/>
      <c r="C15" s="58"/>
      <c r="D15" s="27"/>
      <c r="E15" s="46"/>
      <c r="F15" s="91" t="s">
        <v>25</v>
      </c>
      <c r="G15" s="90">
        <f>1000000000000/(4*E95^2*E98^2*G16*0.000001)</f>
        <v>13.896286200005999</v>
      </c>
      <c r="H15" s="91" t="s">
        <v>25</v>
      </c>
      <c r="I15" s="88">
        <f>I11</f>
        <v>20.551584204385293</v>
      </c>
      <c r="J15" s="91" t="s">
        <v>25</v>
      </c>
      <c r="K15" s="88">
        <f>1000000000000/(4*E95^2*E98^2*K16*0.000001)</f>
        <v>26.782968336327187</v>
      </c>
      <c r="L15" s="91" t="s">
        <v>25</v>
      </c>
      <c r="M15" s="88">
        <f>1000000000000/(4*E95^2*E98^2*M16*0.000001)</f>
        <v>23.577400537684003</v>
      </c>
      <c r="N15" s="91" t="s">
        <v>25</v>
      </c>
      <c r="O15" s="88">
        <f>1000000000000/(4*E95^2*E98^2*O16*0.000001)</f>
        <v>27.412098465032862</v>
      </c>
      <c r="P15" s="91" t="s">
        <v>25</v>
      </c>
      <c r="Q15" s="92">
        <f>1000000000000/(4*E95^2*E98^2*Q16*0.000001)</f>
        <v>24.236489243947087</v>
      </c>
      <c r="R15" s="27"/>
      <c r="S15" s="17" t="s">
        <v>225</v>
      </c>
      <c r="T15" s="30"/>
    </row>
    <row r="16" spans="2:20" ht="15" thickTop="1">
      <c r="B16" s="58"/>
      <c r="C16" s="58"/>
      <c r="D16" s="27"/>
      <c r="E16" s="46"/>
      <c r="F16" s="95" t="s">
        <v>7</v>
      </c>
      <c r="G16" s="96">
        <f>(1/0.9277)*E101*E99*1000000</f>
        <v>4.288965809899655</v>
      </c>
      <c r="H16" s="86" t="s">
        <v>7</v>
      </c>
      <c r="I16" s="83">
        <f>I12</f>
        <v>2.9000536310815668</v>
      </c>
      <c r="J16" s="86" t="s">
        <v>7</v>
      </c>
      <c r="K16" s="83">
        <f>E101*E99*1000000*1.788^-1</f>
        <v>2.2253207952147149</v>
      </c>
      <c r="L16" s="86" t="s">
        <v>7</v>
      </c>
      <c r="M16" s="83">
        <f>1.574^-1*E73</f>
        <v>2.5278739401803745</v>
      </c>
      <c r="N16" s="86" t="s">
        <v>7</v>
      </c>
      <c r="O16" s="83">
        <f>E101*E99*1000000*1.83^-1</f>
        <v>2.1742478589310981</v>
      </c>
      <c r="P16" s="86" t="s">
        <v>7</v>
      </c>
      <c r="Q16" s="87">
        <f>E101*E99*1000000*1.618^-1</f>
        <v>2.4591307675178675</v>
      </c>
      <c r="R16" s="27"/>
      <c r="S16" s="58"/>
      <c r="T16" s="58"/>
    </row>
    <row r="17" spans="2:20">
      <c r="B17" s="58"/>
      <c r="C17" s="58"/>
      <c r="D17" s="27"/>
      <c r="E17" s="46"/>
      <c r="F17" s="46"/>
      <c r="G17" s="46"/>
      <c r="H17" s="86" t="s">
        <v>8</v>
      </c>
      <c r="I17" s="88">
        <f>I9</f>
        <v>86.950908694141376</v>
      </c>
      <c r="J17" s="86" t="s">
        <v>8</v>
      </c>
      <c r="K17" s="88">
        <f>1.516^-1*E72</f>
        <v>65.614669885288734</v>
      </c>
      <c r="L17" s="86" t="s">
        <v>8</v>
      </c>
      <c r="M17" s="88">
        <f>M13</f>
        <v>47.503266258881439</v>
      </c>
      <c r="N17" s="86" t="s">
        <v>8</v>
      </c>
      <c r="O17" s="88">
        <f>1.83^-1*E72</f>
        <v>54.356196473277443</v>
      </c>
      <c r="P17" s="86" t="s">
        <v>8</v>
      </c>
      <c r="Q17" s="92">
        <f>2.205^-1*E72</f>
        <v>45.111945372379921</v>
      </c>
      <c r="R17" s="27"/>
      <c r="S17" s="58"/>
      <c r="T17" s="58"/>
    </row>
    <row r="18" spans="2:20">
      <c r="B18" s="58"/>
      <c r="C18" s="58"/>
      <c r="D18" s="27"/>
      <c r="E18" s="46"/>
      <c r="F18" s="46"/>
      <c r="G18" s="46"/>
      <c r="H18" s="97" t="s">
        <v>26</v>
      </c>
      <c r="I18" s="98">
        <f>I10</f>
        <v>0.68545225451360858</v>
      </c>
      <c r="J18" s="80" t="s">
        <v>26</v>
      </c>
      <c r="K18" s="83">
        <f>1000000/(4*E95^2*E98^2*K17*0.000000000001)</f>
        <v>0.90834407154076113</v>
      </c>
      <c r="L18" s="86" t="s">
        <v>26</v>
      </c>
      <c r="M18" s="83">
        <f>M14</f>
        <v>1.2546652281044548</v>
      </c>
      <c r="N18" s="86" t="s">
        <v>26</v>
      </c>
      <c r="O18" s="83">
        <f>1000000/(4*E95^2*E98^2*O17*0.000000000001)</f>
        <v>1.0964839386013145</v>
      </c>
      <c r="P18" s="86" t="s">
        <v>26</v>
      </c>
      <c r="Q18" s="87">
        <f>1000000/(4*E95^2*E98^2*Q17*0.000000000001)</f>
        <v>1.3211732702819117</v>
      </c>
      <c r="R18" s="27"/>
      <c r="S18" s="58"/>
      <c r="T18" s="58"/>
    </row>
    <row r="19" spans="2:20">
      <c r="B19" s="58"/>
      <c r="C19" s="58"/>
      <c r="D19" s="27"/>
      <c r="E19" s="46"/>
      <c r="F19" s="46"/>
      <c r="G19" s="46"/>
      <c r="H19" s="46"/>
      <c r="I19" s="46"/>
      <c r="J19" s="86" t="s">
        <v>27</v>
      </c>
      <c r="K19" s="88">
        <f>1000000000000/(4*E95^2*E98^2*K20*0.000001)</f>
        <v>15.527530748007134</v>
      </c>
      <c r="L19" s="86" t="s">
        <v>27</v>
      </c>
      <c r="M19" s="88">
        <f>1000000000000/(4*E95^2*E98^2*M20*0.000001)</f>
        <v>21.315527932099325</v>
      </c>
      <c r="N19" s="86" t="s">
        <v>27</v>
      </c>
      <c r="O19" s="88">
        <f>1000000000000/(4*E95^2*E98^2*O20*0.000001)</f>
        <v>28.52056583465713</v>
      </c>
      <c r="P19" s="86" t="s">
        <v>27</v>
      </c>
      <c r="Q19" s="92">
        <f>Q15</f>
        <v>24.236489243947087</v>
      </c>
      <c r="R19" s="27"/>
      <c r="S19" s="58"/>
      <c r="T19" s="58"/>
    </row>
    <row r="20" spans="2:20">
      <c r="B20" s="58"/>
      <c r="C20" s="58"/>
      <c r="D20" s="27"/>
      <c r="E20" s="46"/>
      <c r="F20" s="46"/>
      <c r="G20" s="46"/>
      <c r="H20" s="46"/>
      <c r="I20" s="46"/>
      <c r="J20" s="97" t="s">
        <v>10</v>
      </c>
      <c r="K20" s="98">
        <f>E101*E99*1000000*1.0366^-1</f>
        <v>3.838388560528565</v>
      </c>
      <c r="L20" s="86" t="s">
        <v>10</v>
      </c>
      <c r="M20" s="83">
        <f>M12</f>
        <v>2.7961163610990227</v>
      </c>
      <c r="N20" s="86" t="s">
        <v>10</v>
      </c>
      <c r="O20" s="83">
        <f>E101*E99*1000000*1.904^-1</f>
        <v>2.0897445282793647</v>
      </c>
      <c r="P20" s="86" t="s">
        <v>10</v>
      </c>
      <c r="Q20" s="87">
        <f>Q16</f>
        <v>2.4591307675178675</v>
      </c>
      <c r="R20" s="27"/>
      <c r="S20" s="58"/>
      <c r="T20" s="58"/>
    </row>
    <row r="21" spans="2:20">
      <c r="B21" s="58"/>
      <c r="C21" s="58"/>
      <c r="D21" s="27"/>
      <c r="E21" s="46"/>
      <c r="F21" s="46"/>
      <c r="G21" s="46"/>
      <c r="H21" s="46"/>
      <c r="I21" s="46"/>
      <c r="J21" s="46"/>
      <c r="K21" s="46"/>
      <c r="L21" s="91" t="s">
        <v>11</v>
      </c>
      <c r="M21" s="88">
        <f>M9</f>
        <v>84.441289937264628</v>
      </c>
      <c r="N21" s="91" t="s">
        <v>11</v>
      </c>
      <c r="O21" s="88">
        <f>1.526^-1*E72</f>
        <v>65.184691707796674</v>
      </c>
      <c r="P21" s="91" t="s">
        <v>11</v>
      </c>
      <c r="Q21" s="92">
        <f>Q13</f>
        <v>46.656585152953902</v>
      </c>
      <c r="R21" s="27"/>
      <c r="S21" s="58"/>
      <c r="T21" s="58"/>
    </row>
    <row r="22" spans="2:20">
      <c r="B22" s="58"/>
      <c r="C22" s="58"/>
      <c r="D22" s="27"/>
      <c r="E22" s="46"/>
      <c r="F22" s="46"/>
      <c r="G22" s="46"/>
      <c r="H22" s="46"/>
      <c r="I22" s="46"/>
      <c r="J22" s="46"/>
      <c r="K22" s="46"/>
      <c r="L22" s="99" t="s">
        <v>28</v>
      </c>
      <c r="M22" s="98">
        <f>M10</f>
        <v>0.70582408725264945</v>
      </c>
      <c r="N22" s="91" t="s">
        <v>28</v>
      </c>
      <c r="O22" s="83">
        <f>1000000/(4*E95^2*E98^2*O21*0.000000000001)</f>
        <v>0.91433578705224383</v>
      </c>
      <c r="P22" s="91" t="s">
        <v>28</v>
      </c>
      <c r="Q22" s="87">
        <f>Q14</f>
        <v>1.277433747048089</v>
      </c>
      <c r="R22" s="27"/>
      <c r="S22" s="58"/>
      <c r="T22" s="58"/>
    </row>
    <row r="23" spans="2:20">
      <c r="B23" s="58"/>
      <c r="C23" s="58"/>
      <c r="D23" s="27"/>
      <c r="E23" s="46"/>
      <c r="F23" s="46"/>
      <c r="G23" s="46"/>
      <c r="H23" s="46"/>
      <c r="I23" s="46"/>
      <c r="J23" s="46"/>
      <c r="K23" s="46"/>
      <c r="L23" s="46"/>
      <c r="M23" s="46"/>
      <c r="N23" s="91" t="s">
        <v>29</v>
      </c>
      <c r="O23" s="88">
        <f>1000000000000/(4*E95^2*E98^2*O24*0.000001)</f>
        <v>16.270503471430978</v>
      </c>
      <c r="P23" s="91" t="s">
        <v>29</v>
      </c>
      <c r="Q23" s="92">
        <f>Q11</f>
        <v>21.615113707673451</v>
      </c>
      <c r="R23" s="27"/>
      <c r="S23" s="58"/>
      <c r="T23" s="58"/>
    </row>
    <row r="24" spans="2:20">
      <c r="B24" s="58"/>
      <c r="C24" s="58"/>
      <c r="D24" s="27"/>
      <c r="E24" s="46"/>
      <c r="F24" s="46"/>
      <c r="G24" s="46"/>
      <c r="H24" s="46"/>
      <c r="I24" s="46"/>
      <c r="J24" s="46"/>
      <c r="K24" s="46"/>
      <c r="L24" s="46"/>
      <c r="M24" s="46"/>
      <c r="N24" s="99" t="s">
        <v>12</v>
      </c>
      <c r="O24" s="98">
        <f>E99*E101*1000000*1.0862^-1</f>
        <v>3.6631132220989779</v>
      </c>
      <c r="P24" s="91" t="s">
        <v>12</v>
      </c>
      <c r="Q24" s="87">
        <f>Q12</f>
        <v>2.7573621495799792</v>
      </c>
      <c r="R24" s="27"/>
      <c r="S24" s="58"/>
      <c r="T24" s="58"/>
    </row>
    <row r="25" spans="2:20">
      <c r="B25" s="58"/>
      <c r="C25" s="58"/>
      <c r="D25" s="27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86" t="s">
        <v>38</v>
      </c>
      <c r="Q25" s="92">
        <f>Q9</f>
        <v>83.379580508045024</v>
      </c>
      <c r="R25" s="27"/>
      <c r="S25" s="58"/>
      <c r="T25" s="58"/>
    </row>
    <row r="26" spans="2:20" ht="15" thickBot="1">
      <c r="B26" s="58"/>
      <c r="C26" s="58"/>
      <c r="D26" s="17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100" t="s">
        <v>30</v>
      </c>
      <c r="Q26" s="101">
        <f>Q10</f>
        <v>0.71481166051987355</v>
      </c>
      <c r="R26" s="27"/>
      <c r="S26" s="58"/>
      <c r="T26" s="58"/>
    </row>
    <row r="27" spans="2:20" ht="15.6" thickTop="1" thickBot="1">
      <c r="B27" s="58"/>
      <c r="C27" s="58"/>
      <c r="D27" s="14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58"/>
      <c r="T27" s="58"/>
    </row>
    <row r="28" spans="2:20" ht="15" thickTop="1">
      <c r="B28" s="58"/>
      <c r="C28" s="58"/>
      <c r="D28" s="16"/>
      <c r="E28" s="14" t="s">
        <v>46</v>
      </c>
      <c r="F28" s="12" t="s">
        <v>67</v>
      </c>
      <c r="G28" s="14"/>
      <c r="H28" s="12" t="s">
        <v>65</v>
      </c>
      <c r="I28" s="14"/>
      <c r="J28" s="12" t="s">
        <v>68</v>
      </c>
      <c r="K28" s="13"/>
      <c r="L28" s="14" t="s">
        <v>69</v>
      </c>
      <c r="M28" s="14"/>
      <c r="N28" s="12" t="s">
        <v>62</v>
      </c>
      <c r="O28" s="13"/>
      <c r="P28" s="14" t="s">
        <v>70</v>
      </c>
      <c r="Q28" s="14"/>
      <c r="R28" s="27"/>
      <c r="S28" s="58"/>
      <c r="T28" s="58"/>
    </row>
    <row r="29" spans="2:20">
      <c r="B29" s="58"/>
      <c r="C29" s="58"/>
      <c r="D29" s="76" t="s">
        <v>2</v>
      </c>
      <c r="E29" s="78">
        <f>1000000000000/(4*E95^2*E98^2*E30*0.000001)</f>
        <v>15.406198508899614</v>
      </c>
      <c r="F29" s="80" t="s">
        <v>2</v>
      </c>
      <c r="G29" s="81">
        <f>G15</f>
        <v>13.896286200005999</v>
      </c>
      <c r="H29" s="80" t="s">
        <v>2</v>
      </c>
      <c r="I29" s="81">
        <f>1000000000000/(4*E95^2*E98^2*I30*0.000001)</f>
        <v>17.136306362840212</v>
      </c>
      <c r="J29" s="79" t="s">
        <v>2</v>
      </c>
      <c r="K29" s="77">
        <f>K19</f>
        <v>15.527530748007134</v>
      </c>
      <c r="L29" s="80" t="s">
        <v>2</v>
      </c>
      <c r="M29" s="81">
        <f>1000000000000/(4*E95^2*E98^2*M30*0.000001)</f>
        <v>17.645602181316232</v>
      </c>
      <c r="N29" s="80" t="s">
        <v>2</v>
      </c>
      <c r="O29" s="102">
        <f>O23</f>
        <v>16.270503471430978</v>
      </c>
      <c r="P29" s="80" t="s">
        <v>2</v>
      </c>
      <c r="Q29" s="81">
        <f>1000000000000/(4*E95^2*E98^2*Q30*0.000001)</f>
        <v>12.55598388827031</v>
      </c>
      <c r="R29" s="27"/>
      <c r="S29" s="58"/>
      <c r="T29" s="58"/>
    </row>
    <row r="30" spans="2:20">
      <c r="B30" s="58"/>
      <c r="C30" s="58"/>
      <c r="D30" s="82" t="s">
        <v>22</v>
      </c>
      <c r="E30" s="85">
        <f>(1.0285)^-1*E73</f>
        <v>3.8686179697072531</v>
      </c>
      <c r="F30" s="86" t="s">
        <v>22</v>
      </c>
      <c r="G30" s="85">
        <f>G16</f>
        <v>4.288965809899655</v>
      </c>
      <c r="H30" s="86" t="s">
        <v>22</v>
      </c>
      <c r="I30" s="83">
        <f>1.144^-1*E73</f>
        <v>3.4780363477656553</v>
      </c>
      <c r="J30" s="86" t="s">
        <v>22</v>
      </c>
      <c r="K30" s="83">
        <f>K20</f>
        <v>3.838388560528565</v>
      </c>
      <c r="L30" s="86" t="s">
        <v>22</v>
      </c>
      <c r="M30" s="85">
        <f>1.178^-1*E73</f>
        <v>3.3776515974905856</v>
      </c>
      <c r="N30" s="86" t="s">
        <v>22</v>
      </c>
      <c r="O30" s="83">
        <f>O24</f>
        <v>3.6631132220989779</v>
      </c>
      <c r="P30" s="86" t="s">
        <v>22</v>
      </c>
      <c r="Q30" s="87">
        <f>1.193^1*E73</f>
        <v>4.746796183139784</v>
      </c>
      <c r="R30" s="27"/>
      <c r="S30" s="58"/>
      <c r="T30" s="58"/>
    </row>
    <row r="31" spans="2:20">
      <c r="B31" s="58"/>
      <c r="C31" s="58"/>
      <c r="D31" s="82" t="s">
        <v>23</v>
      </c>
      <c r="E31" s="90">
        <f>(1.1468)^-1*E72</f>
        <v>86.738611393527833</v>
      </c>
      <c r="F31" s="86" t="s">
        <v>23</v>
      </c>
      <c r="G31" s="90">
        <f>G13</f>
        <v>142.64261790910413</v>
      </c>
      <c r="H31" s="86" t="s">
        <v>23</v>
      </c>
      <c r="I31" s="88">
        <f>1.372^-1*E72</f>
        <v>72.501340777039161</v>
      </c>
      <c r="J31" s="86" t="s">
        <v>23</v>
      </c>
      <c r="K31" s="88">
        <f>K17</f>
        <v>65.614669885288734</v>
      </c>
      <c r="L31" s="86" t="s">
        <v>23</v>
      </c>
      <c r="M31" s="90">
        <f>1.423^-1*E72</f>
        <v>69.902909027475559</v>
      </c>
      <c r="N31" s="86" t="s">
        <v>23</v>
      </c>
      <c r="O31" s="88">
        <f>O21</f>
        <v>65.184691707796674</v>
      </c>
      <c r="P31" s="86" t="s">
        <v>23</v>
      </c>
      <c r="Q31" s="92">
        <f>1.443^-1*E72</f>
        <v>68.934053739499461</v>
      </c>
      <c r="R31" s="27"/>
      <c r="S31" s="58"/>
      <c r="T31" s="58"/>
    </row>
    <row r="32" spans="2:20">
      <c r="B32" s="58"/>
      <c r="C32" s="58"/>
      <c r="D32" s="103" t="s">
        <v>3</v>
      </c>
      <c r="E32" s="85">
        <f>1000000/(4*E95^2*E98^2*E31*0.000000000001)</f>
        <v>0.68712993485682372</v>
      </c>
      <c r="F32" s="91" t="s">
        <v>3</v>
      </c>
      <c r="G32" s="85">
        <f>G14</f>
        <v>0.41783232297647094</v>
      </c>
      <c r="H32" s="91" t="s">
        <v>3</v>
      </c>
      <c r="I32" s="83">
        <f>1000000/(4*E95^2*E98^2*I31*0.000000000001)</f>
        <v>0.8220633681754117</v>
      </c>
      <c r="J32" s="91" t="s">
        <v>3</v>
      </c>
      <c r="K32" s="83">
        <f>K18</f>
        <v>0.90834407154076113</v>
      </c>
      <c r="L32" s="91" t="s">
        <v>3</v>
      </c>
      <c r="M32" s="85">
        <f>1000000/(4*E95^2*E98^2*M31*0.000000000001)</f>
        <v>0.85262111728397305</v>
      </c>
      <c r="N32" s="91" t="s">
        <v>3</v>
      </c>
      <c r="O32" s="83">
        <f>O22</f>
        <v>0.91433578705224383</v>
      </c>
      <c r="P32" s="91" t="s">
        <v>3</v>
      </c>
      <c r="Q32" s="87">
        <f>1000000/(4*E95^2*E98^2*Q31*0.000000000001)</f>
        <v>0.86460454830693834</v>
      </c>
      <c r="R32" s="27"/>
      <c r="S32" s="58"/>
      <c r="T32" s="58"/>
    </row>
    <row r="33" spans="2:20">
      <c r="B33" s="58"/>
      <c r="C33" s="58"/>
      <c r="D33" s="103" t="s">
        <v>4</v>
      </c>
      <c r="E33" s="90">
        <f>E29</f>
        <v>15.406198508899614</v>
      </c>
      <c r="F33" s="91" t="s">
        <v>4</v>
      </c>
      <c r="G33" s="90">
        <f>G11</f>
        <v>21.480300108665091</v>
      </c>
      <c r="H33" s="91" t="s">
        <v>4</v>
      </c>
      <c r="I33" s="88">
        <f>1000000000000/(4*E98^2*E95^2*I34*0.000001)</f>
        <v>29.539157471609176</v>
      </c>
      <c r="J33" s="91" t="s">
        <v>4</v>
      </c>
      <c r="K33" s="88">
        <f>K15</f>
        <v>26.782968336327187</v>
      </c>
      <c r="L33" s="91" t="s">
        <v>4</v>
      </c>
      <c r="M33" s="90">
        <f>1000000000000/(4*E95^2*E98^2*M34*0.000001)</f>
        <v>31.366630702611371</v>
      </c>
      <c r="N33" s="91" t="s">
        <v>4</v>
      </c>
      <c r="O33" s="88">
        <f>O19</f>
        <v>28.52056583465713</v>
      </c>
      <c r="P33" s="91" t="s">
        <v>4</v>
      </c>
      <c r="Q33" s="92">
        <f>1000000000000/(4*E95^2*E98^2*Q34*0.000001)</f>
        <v>31.935843676202222</v>
      </c>
      <c r="R33" s="27"/>
      <c r="S33" s="58"/>
      <c r="T33" s="58"/>
    </row>
    <row r="34" spans="2:20">
      <c r="B34" s="58"/>
      <c r="C34" s="58"/>
      <c r="D34" s="104" t="s">
        <v>24</v>
      </c>
      <c r="E34" s="94">
        <f>E30</f>
        <v>3.8686179697072531</v>
      </c>
      <c r="F34" s="91" t="s">
        <v>24</v>
      </c>
      <c r="G34" s="85">
        <f>G12</f>
        <v>2.7746677697656277</v>
      </c>
      <c r="H34" s="91" t="s">
        <v>24</v>
      </c>
      <c r="I34" s="83">
        <f>1.972^-1*E73</f>
        <v>2.0176843721318001</v>
      </c>
      <c r="J34" s="91" t="s">
        <v>24</v>
      </c>
      <c r="K34" s="83">
        <f>K16</f>
        <v>2.2253207952147149</v>
      </c>
      <c r="L34" s="91" t="s">
        <v>24</v>
      </c>
      <c r="M34" s="85">
        <f>2.094^-1*E73</f>
        <v>1.9001306503552577</v>
      </c>
      <c r="N34" s="91" t="s">
        <v>24</v>
      </c>
      <c r="O34" s="83">
        <f>O20</f>
        <v>2.0897445282793647</v>
      </c>
      <c r="P34" s="91" t="s">
        <v>24</v>
      </c>
      <c r="Q34" s="87">
        <f>2.132^-1*E73</f>
        <v>1.8662634061181562</v>
      </c>
      <c r="R34" s="27"/>
      <c r="S34" s="58"/>
      <c r="T34" s="58"/>
    </row>
    <row r="35" spans="2:20">
      <c r="B35" s="58"/>
      <c r="C35" s="58"/>
      <c r="D35" s="27"/>
      <c r="E35" s="46"/>
      <c r="F35" s="86" t="s">
        <v>25</v>
      </c>
      <c r="G35" s="90">
        <f>G9</f>
        <v>107.22414524749136</v>
      </c>
      <c r="H35" s="86" t="s">
        <v>25</v>
      </c>
      <c r="I35" s="88">
        <f>I31</f>
        <v>72.501340777039161</v>
      </c>
      <c r="J35" s="86" t="s">
        <v>25</v>
      </c>
      <c r="K35" s="88">
        <f>K13</f>
        <v>55.633019880367854</v>
      </c>
      <c r="L35" s="86" t="s">
        <v>25</v>
      </c>
      <c r="M35" s="90">
        <f>1.574^-1*E72</f>
        <v>63.196848504509354</v>
      </c>
      <c r="N35" s="86" t="s">
        <v>25</v>
      </c>
      <c r="O35" s="88">
        <f>O17</f>
        <v>54.356196473277443</v>
      </c>
      <c r="P35" s="86" t="s">
        <v>25</v>
      </c>
      <c r="Q35" s="92">
        <f>1.618^-1*E72</f>
        <v>61.478269187946673</v>
      </c>
      <c r="R35" s="27"/>
      <c r="S35" s="58"/>
      <c r="T35" s="58"/>
    </row>
    <row r="36" spans="2:20">
      <c r="B36" s="58"/>
      <c r="C36" s="58"/>
      <c r="D36" s="27"/>
      <c r="E36" s="46"/>
      <c r="F36" s="97" t="s">
        <v>7</v>
      </c>
      <c r="G36" s="105">
        <f>G10</f>
        <v>0.55585144800024011</v>
      </c>
      <c r="H36" s="80" t="s">
        <v>66</v>
      </c>
      <c r="I36" s="106">
        <f>1000000/(4*E95^2*E98^2*I35*0.000000000001)</f>
        <v>0.8220633681754117</v>
      </c>
      <c r="J36" s="86" t="s">
        <v>7</v>
      </c>
      <c r="K36" s="83">
        <f>K14</f>
        <v>1.0713187334530876</v>
      </c>
      <c r="L36" s="86" t="s">
        <v>7</v>
      </c>
      <c r="M36" s="85">
        <f>1000000/(4*E95^2*E98^2*M35*0.000000000001)</f>
        <v>0.94309602150736016</v>
      </c>
      <c r="N36" s="86" t="s">
        <v>7</v>
      </c>
      <c r="O36" s="83">
        <f>O18</f>
        <v>1.0964839386013145</v>
      </c>
      <c r="P36" s="86" t="s">
        <v>7</v>
      </c>
      <c r="Q36" s="87">
        <f>1000000/(4*E95^2*E98^2*Q35*0.000000000001)</f>
        <v>0.96945956975788361</v>
      </c>
      <c r="R36" s="27"/>
      <c r="S36" s="58"/>
      <c r="T36" s="58"/>
    </row>
    <row r="37" spans="2:20">
      <c r="B37" s="58"/>
      <c r="C37" s="58"/>
      <c r="D37" s="27"/>
      <c r="E37" s="58"/>
      <c r="F37" s="58"/>
      <c r="G37" s="58"/>
      <c r="H37" s="86" t="s">
        <v>8</v>
      </c>
      <c r="I37" s="88">
        <f>I29</f>
        <v>17.136306362840212</v>
      </c>
      <c r="J37" s="86" t="s">
        <v>8</v>
      </c>
      <c r="K37" s="88">
        <f>K11</f>
        <v>22.708601788519026</v>
      </c>
      <c r="L37" s="86" t="s">
        <v>8</v>
      </c>
      <c r="M37" s="90">
        <f>1000000000000/(4*E95^2*E98^2*M38*0.000001)</f>
        <v>31.366630702611371</v>
      </c>
      <c r="N37" s="86" t="s">
        <v>8</v>
      </c>
      <c r="O37" s="88">
        <f>O15</f>
        <v>27.412098465032862</v>
      </c>
      <c r="P37" s="86" t="s">
        <v>8</v>
      </c>
      <c r="Q37" s="92">
        <f>1000000000000/(4*E95^2*E98^2*Q38*0.000001)</f>
        <v>33.029331757047792</v>
      </c>
      <c r="R37" s="27"/>
      <c r="S37" s="58"/>
      <c r="T37" s="58"/>
    </row>
    <row r="38" spans="2:20">
      <c r="B38" s="58"/>
      <c r="C38" s="58"/>
      <c r="D38" s="27"/>
      <c r="E38" s="58"/>
      <c r="F38" s="58"/>
      <c r="G38" s="58"/>
      <c r="H38" s="97" t="s">
        <v>26</v>
      </c>
      <c r="I38" s="105">
        <f>I30</f>
        <v>3.4780363477656553</v>
      </c>
      <c r="J38" s="86" t="s">
        <v>26</v>
      </c>
      <c r="K38" s="83">
        <f>K12</f>
        <v>2.6245867954115498</v>
      </c>
      <c r="L38" s="86" t="s">
        <v>26</v>
      </c>
      <c r="M38" s="85">
        <f>M34</f>
        <v>1.9001306503552577</v>
      </c>
      <c r="N38" s="86" t="s">
        <v>26</v>
      </c>
      <c r="O38" s="83">
        <f>O16</f>
        <v>2.1742478589310981</v>
      </c>
      <c r="P38" s="86" t="s">
        <v>26</v>
      </c>
      <c r="Q38" s="87">
        <f>2.205^-1*E73</f>
        <v>1.804477814895197</v>
      </c>
      <c r="R38" s="27"/>
      <c r="S38" s="58"/>
      <c r="T38" s="58"/>
    </row>
    <row r="39" spans="2:20">
      <c r="B39" s="58"/>
      <c r="C39" s="58"/>
      <c r="D39" s="27"/>
      <c r="E39" s="58"/>
      <c r="F39" s="58"/>
      <c r="G39" s="58"/>
      <c r="H39" s="58"/>
      <c r="I39" s="58"/>
      <c r="J39" s="86" t="s">
        <v>27</v>
      </c>
      <c r="K39" s="88">
        <f>K9</f>
        <v>95.959714013214096</v>
      </c>
      <c r="L39" s="86" t="s">
        <v>27</v>
      </c>
      <c r="M39" s="90">
        <f>M31</f>
        <v>69.902909027475559</v>
      </c>
      <c r="N39" s="86" t="s">
        <v>27</v>
      </c>
      <c r="O39" s="88">
        <f>O13</f>
        <v>52.243613206984101</v>
      </c>
      <c r="P39" s="86" t="s">
        <v>27</v>
      </c>
      <c r="Q39" s="92">
        <f>Q35</f>
        <v>61.478269187946673</v>
      </c>
      <c r="R39" s="27"/>
      <c r="S39" s="58"/>
      <c r="T39" s="58"/>
    </row>
    <row r="40" spans="2:20">
      <c r="B40" s="58"/>
      <c r="C40" s="58"/>
      <c r="D40" s="27"/>
      <c r="E40" s="58"/>
      <c r="F40" s="58"/>
      <c r="G40" s="58"/>
      <c r="H40" s="58"/>
      <c r="I40" s="58"/>
      <c r="J40" s="97" t="s">
        <v>10</v>
      </c>
      <c r="K40" s="105">
        <f>K10</f>
        <v>0.62110122992028549</v>
      </c>
      <c r="L40" s="86" t="s">
        <v>10</v>
      </c>
      <c r="M40" s="85">
        <f>M32</f>
        <v>0.85262111728397305</v>
      </c>
      <c r="N40" s="86" t="s">
        <v>10</v>
      </c>
      <c r="O40" s="83">
        <f>O14</f>
        <v>1.1408226333862856</v>
      </c>
      <c r="P40" s="86" t="s">
        <v>10</v>
      </c>
      <c r="Q40" s="87">
        <f>Q36</f>
        <v>0.96945956975788361</v>
      </c>
      <c r="R40" s="27"/>
      <c r="S40" s="58"/>
      <c r="T40" s="58"/>
    </row>
    <row r="41" spans="2:20">
      <c r="B41" s="58"/>
      <c r="C41" s="58"/>
      <c r="D41" s="27"/>
      <c r="E41" s="58"/>
      <c r="F41" s="58"/>
      <c r="G41" s="58"/>
      <c r="H41" s="58"/>
      <c r="I41" s="58"/>
      <c r="J41" s="58"/>
      <c r="K41" s="58"/>
      <c r="L41" s="86" t="s">
        <v>11</v>
      </c>
      <c r="M41" s="90">
        <f>M29</f>
        <v>17.645602181316232</v>
      </c>
      <c r="N41" s="86" t="s">
        <v>11</v>
      </c>
      <c r="O41" s="88">
        <f>O11</f>
        <v>22.858394676306087</v>
      </c>
      <c r="P41" s="86" t="s">
        <v>11</v>
      </c>
      <c r="Q41" s="92">
        <f>Q33</f>
        <v>31.935843676202222</v>
      </c>
      <c r="R41" s="27"/>
      <c r="S41" s="58"/>
      <c r="T41" s="58"/>
    </row>
    <row r="42" spans="2:20">
      <c r="B42" s="58"/>
      <c r="C42" s="58"/>
      <c r="D42" s="27"/>
      <c r="E42" s="58"/>
      <c r="F42" s="58"/>
      <c r="G42" s="58"/>
      <c r="H42" s="58"/>
      <c r="I42" s="58"/>
      <c r="J42" s="58"/>
      <c r="K42" s="58"/>
      <c r="L42" s="97" t="s">
        <v>28</v>
      </c>
      <c r="M42" s="98">
        <f>M30</f>
        <v>3.3776515974905856</v>
      </c>
      <c r="N42" s="86" t="s">
        <v>28</v>
      </c>
      <c r="O42" s="83">
        <f>O12</f>
        <v>2.6073876683118673</v>
      </c>
      <c r="P42" s="86" t="s">
        <v>28</v>
      </c>
      <c r="Q42" s="87">
        <f>Q34</f>
        <v>1.8662634061181562</v>
      </c>
      <c r="R42" s="27"/>
      <c r="S42" s="58"/>
      <c r="T42" s="58"/>
    </row>
    <row r="43" spans="2:20">
      <c r="B43" s="58"/>
      <c r="C43" s="58"/>
      <c r="D43" s="27"/>
      <c r="E43" s="58"/>
      <c r="F43" s="58"/>
      <c r="G43" s="58"/>
      <c r="H43" s="58"/>
      <c r="I43" s="58"/>
      <c r="J43" s="58"/>
      <c r="K43" s="58"/>
      <c r="L43" s="58"/>
      <c r="M43" s="58"/>
      <c r="N43" s="86" t="s">
        <v>29</v>
      </c>
      <c r="O43" s="88">
        <f>O9</f>
        <v>91.577830552474424</v>
      </c>
      <c r="P43" s="86" t="s">
        <v>29</v>
      </c>
      <c r="Q43" s="92">
        <f>Q31</f>
        <v>68.934053739499461</v>
      </c>
      <c r="R43" s="27"/>
      <c r="S43" s="58"/>
      <c r="T43" s="58"/>
    </row>
    <row r="44" spans="2:20">
      <c r="B44" s="58"/>
      <c r="C44" s="58"/>
      <c r="D44" s="27"/>
      <c r="E44" s="58"/>
      <c r="F44" s="58"/>
      <c r="G44" s="58"/>
      <c r="H44" s="58"/>
      <c r="I44" s="58"/>
      <c r="J44" s="58"/>
      <c r="K44" s="58"/>
      <c r="L44" s="58"/>
      <c r="M44" s="58"/>
      <c r="N44" s="97" t="s">
        <v>12</v>
      </c>
      <c r="O44" s="105">
        <f>O10</f>
        <v>0.65082013885723922</v>
      </c>
      <c r="P44" s="86" t="s">
        <v>12</v>
      </c>
      <c r="Q44" s="87">
        <f>Q32</f>
        <v>0.86460454830693834</v>
      </c>
      <c r="R44" s="27"/>
      <c r="S44" s="58"/>
      <c r="T44" s="58"/>
    </row>
    <row r="45" spans="2:20">
      <c r="B45" s="58"/>
      <c r="C45" s="58"/>
      <c r="D45" s="27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86" t="s">
        <v>38</v>
      </c>
      <c r="Q45" s="92">
        <f>Q29</f>
        <v>12.55598388827031</v>
      </c>
      <c r="R45" s="27"/>
      <c r="S45" s="58"/>
      <c r="T45" s="58"/>
    </row>
    <row r="46" spans="2:20" ht="15" thickBot="1">
      <c r="B46" s="58"/>
      <c r="C46" s="58"/>
      <c r="D46" s="17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100" t="s">
        <v>30</v>
      </c>
      <c r="Q46" s="107">
        <f>Q30</f>
        <v>4.746796183139784</v>
      </c>
      <c r="R46" s="27"/>
      <c r="S46" s="58"/>
      <c r="T46" s="58"/>
    </row>
    <row r="47" spans="2:20" ht="15" thickTop="1">
      <c r="B47" s="58"/>
      <c r="C47" s="58"/>
      <c r="D47" s="14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</row>
    <row r="48" spans="2:20">
      <c r="B48" s="58"/>
      <c r="C48" s="58"/>
      <c r="D48" s="46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</row>
    <row r="49" spans="2:20"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</row>
    <row r="50" spans="2:20"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</row>
    <row r="51" spans="2:20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</row>
    <row r="52" spans="2:20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</row>
    <row r="53" spans="2:20"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</row>
    <row r="54" spans="2:20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</row>
    <row r="55" spans="2:20"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</row>
    <row r="71" spans="4:5" ht="15" thickBot="1"/>
    <row r="72" spans="4:5" ht="15" thickTop="1">
      <c r="D72" s="69" t="s">
        <v>5</v>
      </c>
      <c r="E72" s="70">
        <f>1000000000000*E100*E99</f>
        <v>99.471839546097726</v>
      </c>
    </row>
    <row r="73" spans="4:5">
      <c r="D73" s="82" t="s">
        <v>6</v>
      </c>
      <c r="E73" s="87">
        <f>1000000*E101*E99</f>
        <v>3.9788735818439096</v>
      </c>
    </row>
    <row r="74" spans="4:5" ht="15" thickBot="1">
      <c r="D74" s="17" t="s">
        <v>170</v>
      </c>
      <c r="E74" s="145">
        <f>E98/1000000</f>
        <v>20.615528128088304</v>
      </c>
    </row>
    <row r="75" spans="4:5" ht="15" thickTop="1"/>
    <row r="93" spans="4:5">
      <c r="D93" t="s">
        <v>47</v>
      </c>
      <c r="E93">
        <f>1000000*F5</f>
        <v>21000000</v>
      </c>
    </row>
    <row r="94" spans="4:5">
      <c r="D94" t="s">
        <v>48</v>
      </c>
      <c r="E94">
        <f>1000000*F6</f>
        <v>8000000</v>
      </c>
    </row>
    <row r="95" spans="4:5">
      <c r="D95" t="s">
        <v>49</v>
      </c>
      <c r="E95">
        <v>3.1415926500000002</v>
      </c>
    </row>
    <row r="96" spans="4:5">
      <c r="D96" t="s">
        <v>50</v>
      </c>
      <c r="E96">
        <f>E93+E94/2</f>
        <v>25000000</v>
      </c>
    </row>
    <row r="97" spans="4:5">
      <c r="D97" t="s">
        <v>51</v>
      </c>
      <c r="E97">
        <f>E93-E94/2</f>
        <v>17000000</v>
      </c>
    </row>
    <row r="98" spans="4:5">
      <c r="D98" t="s">
        <v>52</v>
      </c>
      <c r="E98">
        <f>(E96*E97)^0.5</f>
        <v>20615528.128088303</v>
      </c>
    </row>
    <row r="99" spans="4:5">
      <c r="D99" t="s">
        <v>53</v>
      </c>
      <c r="E99">
        <f>E98/(E96-E97)</f>
        <v>2.576941016011038</v>
      </c>
    </row>
    <row r="100" spans="4:5">
      <c r="D100" t="s">
        <v>54</v>
      </c>
      <c r="E100">
        <f>1/(2*E95*E98*F4)</f>
        <v>3.8600743644522619E-11</v>
      </c>
    </row>
    <row r="101" spans="4:5">
      <c r="D101" t="s">
        <v>55</v>
      </c>
      <c r="E101">
        <f>F4/(2*E95*E98)</f>
        <v>1.5440297457809048E-6</v>
      </c>
    </row>
    <row r="103" spans="4:5">
      <c r="D103" t="s">
        <v>61</v>
      </c>
      <c r="E103">
        <f>(4*E95^2*E98^2)</f>
        <v>1.6778327443507842E+16</v>
      </c>
    </row>
    <row r="104" spans="4:5">
      <c r="D104" t="s">
        <v>71</v>
      </c>
      <c r="E104">
        <f>E103*0.000001</f>
        <v>16778327443.507841</v>
      </c>
    </row>
    <row r="105" spans="4:5">
      <c r="D105" t="s">
        <v>72</v>
      </c>
      <c r="E105">
        <f>E103*0.000000000001</f>
        <v>16778.327443507842</v>
      </c>
    </row>
  </sheetData>
  <sheetProtection sheet="1" objects="1" scenarios="1"/>
  <pageMargins left="0.7" right="0.7" top="0.75" bottom="0.75" header="0.3" footer="0.3"/>
  <pageSetup orientation="portrait" horizontalDpi="4294967293" verticalDpi="0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WY2U_mike</dc:creator>
  <cp:lastModifiedBy>Mike</cp:lastModifiedBy>
  <dcterms:created xsi:type="dcterms:W3CDTF">2017-02-12T00:15:27Z</dcterms:created>
  <dcterms:modified xsi:type="dcterms:W3CDTF">2025-01-22T14:28:07Z</dcterms:modified>
</cp:coreProperties>
</file>